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5180" windowHeight="8220" activeTab="0"/>
  </bookViews>
  <sheets>
    <sheet name="2023（令和5）年" sheetId="1" r:id="rId1"/>
    <sheet name="2022（令和4）年" sheetId="2" r:id="rId2"/>
    <sheet name="2021（令和3）年" sheetId="3" r:id="rId3"/>
    <sheet name="2020（令和2）年 " sheetId="4" r:id="rId4"/>
    <sheet name="2019（平成31・令和元）年" sheetId="5" r:id="rId5"/>
    <sheet name="2018（平成30）年" sheetId="6" r:id="rId6"/>
    <sheet name="2017（平成29）年" sheetId="7" r:id="rId7"/>
    <sheet name="2016（平成28）年" sheetId="8" r:id="rId8"/>
    <sheet name="2015（平成27）年" sheetId="9" r:id="rId9"/>
    <sheet name="2014（平成26）年" sheetId="10" r:id="rId10"/>
    <sheet name="2013（平成25）年" sheetId="11" r:id="rId11"/>
    <sheet name="2012（平成24）年" sheetId="12" r:id="rId12"/>
    <sheet name="2011（平成23）年" sheetId="13" r:id="rId13"/>
    <sheet name="2010（平成22）年" sheetId="14" r:id="rId14"/>
    <sheet name="2009（平成21）年" sheetId="15" r:id="rId15"/>
    <sheet name="2008（平成20）年" sheetId="16" r:id="rId16"/>
    <sheet name="2007（平成19）年" sheetId="17" r:id="rId17"/>
    <sheet name="2006（平成18）年" sheetId="18" r:id="rId18"/>
  </sheets>
  <definedNames>
    <definedName name="_xlnm.Print_Area" localSheetId="17">'2006（平成18）年'!$A$1:$X$27</definedName>
  </definedNames>
  <calcPr fullCalcOnLoad="1"/>
</workbook>
</file>

<file path=xl/sharedStrings.xml><?xml version="1.0" encoding="utf-8"?>
<sst xmlns="http://schemas.openxmlformats.org/spreadsheetml/2006/main" count="1548" uniqueCount="86">
  <si>
    <t>年・月次</t>
  </si>
  <si>
    <t>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</si>
  <si>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</si>
  <si>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</si>
  <si>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</si>
  <si>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</si>
  <si>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</si>
  <si>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</si>
  <si>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</si>
  <si>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</si>
  <si>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</si>
  <si>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</si>
  <si>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</si>
  <si>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</si>
  <si>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（単位：件）</t>
  </si>
  <si>
    <t>死亡</t>
  </si>
  <si>
    <t>休業</t>
  </si>
  <si>
    <t>製造業</t>
  </si>
  <si>
    <t>土石採取業</t>
  </si>
  <si>
    <t>建設業</t>
  </si>
  <si>
    <t>運輸業</t>
  </si>
  <si>
    <t>清掃業</t>
  </si>
  <si>
    <t>その他の事業</t>
  </si>
  <si>
    <t>総　数</t>
  </si>
  <si>
    <t>鉱　業</t>
  </si>
  <si>
    <t>林　業</t>
  </si>
  <si>
    <t>漁　業</t>
  </si>
  <si>
    <t>商　業</t>
  </si>
  <si>
    <t xml:space="preserve"> 資料 … 釧路労働基準監督署</t>
  </si>
  <si>
    <t>（注）… 労働者死傷病報告書（休業４日以上）及び死亡災害速報により集計。</t>
  </si>
  <si>
    <t>（注）… 業種内訳</t>
  </si>
  <si>
    <t>製造業＝食料品、木材木製品、紙・パルプ、窯業・土石、金属・機器、その他</t>
  </si>
  <si>
    <t>建設業＝土木工事業、建築工事業、木造建築業、設備工事業</t>
  </si>
  <si>
    <t>運輸業＝道路貨物運送業、その他の運輸業、陸上貨物取扱業、港湾荷役業</t>
  </si>
  <si>
    <t>（注）… 労働者死傷病報告書（休業４日以上）及び死亡災害速報により集計</t>
  </si>
  <si>
    <t>接客娯楽業</t>
  </si>
  <si>
    <t>増減</t>
  </si>
  <si>
    <t>【累計値・比較】</t>
  </si>
  <si>
    <t>（注）… 労働者死傷病報告書（休業４日以上）及び死亡災害速報による集計のため、遡って数値が変動する可能性があります。</t>
  </si>
  <si>
    <t>労働災害発生状況＜2018（平成30）年1月～12月、月中＞</t>
  </si>
  <si>
    <t>2005（平成17）年</t>
  </si>
  <si>
    <t>2006（平成18）年</t>
  </si>
  <si>
    <t>2007（平成19）年</t>
  </si>
  <si>
    <t>2008（平成20）年</t>
  </si>
  <si>
    <t>2009（平成21）年</t>
  </si>
  <si>
    <t>2010（平成22）年</t>
  </si>
  <si>
    <t>2011（平成23）年</t>
  </si>
  <si>
    <t>2012（平成24）年</t>
  </si>
  <si>
    <t>2013（平成25）年</t>
  </si>
  <si>
    <t>2014（平成26）年</t>
  </si>
  <si>
    <t>2015（平成27）年</t>
  </si>
  <si>
    <t>2016（平成28）年</t>
  </si>
  <si>
    <t>2017（平成29）年</t>
  </si>
  <si>
    <t>2017（平成29）年</t>
  </si>
  <si>
    <t>2018（平成30）年</t>
  </si>
  <si>
    <t>労働災害発生状況＜2017（平成29）年1月～12月、月中＞</t>
  </si>
  <si>
    <t>労働災害発生状況＜2016（平成28）年1月～12月、月中＞</t>
  </si>
  <si>
    <t>2015（平成27）年</t>
  </si>
  <si>
    <t>2016（平成28）年</t>
  </si>
  <si>
    <t>労働災害発生状況＜2015（平成27）年1月～12月、月中＞</t>
  </si>
  <si>
    <t>2015（平成27）年</t>
  </si>
  <si>
    <t>労働災害発生状況＜2014（平成26）年1月～12月、月中＞</t>
  </si>
  <si>
    <t>2014（平成26）年</t>
  </si>
  <si>
    <t>労働災害発生状況＜2013（平成25）年1月～12月、月中＞</t>
  </si>
  <si>
    <t>労働災害発生状況＜2012（平成24）年1月～12月、月中＞</t>
  </si>
  <si>
    <t>労働災害発生状況＜2011（平成23）年1月～12月、月中＞</t>
  </si>
  <si>
    <t>労働災害発生状況＜2010（平成22）年1月～12月、月中＞</t>
  </si>
  <si>
    <t>労働災害発生状況＜2009（平成21）年1月～12月、月中＞</t>
  </si>
  <si>
    <t>労働災害発生状況＜2008（平成20）年1月～12月、月中＞</t>
  </si>
  <si>
    <t>労働災害発生状況＜2007（平成19）年1月～12月、月中＞</t>
  </si>
  <si>
    <t>労働災害発生状況＜2006（平成18）年1月～12月、月中＞</t>
  </si>
  <si>
    <t>2019（平成31）年</t>
  </si>
  <si>
    <t>2019（令和元）年</t>
  </si>
  <si>
    <t>労働災害発生状況＜2020（令和2）年1月～12月、月中＞</t>
  </si>
  <si>
    <t>労働災害発生状況＜2019（平成31・令和元）年1月～12月、月中＞</t>
  </si>
  <si>
    <t>労働災害発生状況＜2021（令和3）年1月～12月、月中＞</t>
  </si>
  <si>
    <t>労働災害発生状況＜2022（令和4）年1月～12月、月中＞</t>
  </si>
  <si>
    <t>計</t>
  </si>
  <si>
    <t>2019（令和元）年</t>
  </si>
  <si>
    <t>2020（令和 2）年</t>
  </si>
  <si>
    <t>2021（令和 3）年</t>
  </si>
  <si>
    <t>2022（令和 4）年</t>
  </si>
  <si>
    <t>2020（令和 2）年</t>
  </si>
  <si>
    <t>2022（令和 4）年</t>
  </si>
  <si>
    <t>2023（令和 5）年</t>
  </si>
  <si>
    <t>労働災害発生状況＜2023（令和5）年1月～12月、月中＞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</si>
</sst>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_);[Red]\(0\)"/>
    <numFmt numFmtId="180" formatCode="0;&quot;△ &quot;0"/>
    <numFmt numFmtId="181" formatCode="#,##0_ ;[Red]\-#,##0\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12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1" fontId="6" fillId="0" borderId="23" xfId="0" applyNumberFormat="1" applyFont="1" applyBorder="1" applyAlignment="1">
      <alignment/>
    </xf>
    <xf numFmtId="41" fontId="6" fillId="0" borderId="24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29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30" xfId="0" applyNumberFormat="1" applyFont="1" applyBorder="1" applyAlignment="1">
      <alignment/>
    </xf>
    <xf numFmtId="41" fontId="6" fillId="0" borderId="31" xfId="0" applyNumberFormat="1" applyFont="1" applyBorder="1" applyAlignment="1">
      <alignment/>
    </xf>
    <xf numFmtId="41" fontId="6" fillId="0" borderId="32" xfId="0" applyNumberFormat="1" applyFont="1" applyBorder="1" applyAlignment="1">
      <alignment/>
    </xf>
    <xf numFmtId="41" fontId="6" fillId="0" borderId="3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34" xfId="0" applyNumberFormat="1" applyFont="1" applyBorder="1" applyAlignment="1">
      <alignment/>
    </xf>
    <xf numFmtId="41" fontId="6" fillId="0" borderId="35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6" fillId="0" borderId="36" xfId="0" applyFont="1" applyBorder="1" applyAlignment="1">
      <alignment horizontal="center" vertical="center"/>
    </xf>
    <xf numFmtId="41" fontId="6" fillId="0" borderId="37" xfId="0" applyNumberFormat="1" applyFont="1" applyBorder="1" applyAlignment="1">
      <alignment/>
    </xf>
    <xf numFmtId="41" fontId="6" fillId="0" borderId="38" xfId="0" applyNumberFormat="1" applyFont="1" applyBorder="1" applyAlignment="1">
      <alignment/>
    </xf>
    <xf numFmtId="41" fontId="6" fillId="0" borderId="39" xfId="0" applyNumberFormat="1" applyFont="1" applyBorder="1" applyAlignment="1">
      <alignment/>
    </xf>
    <xf numFmtId="41" fontId="6" fillId="0" borderId="40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41" fontId="6" fillId="0" borderId="41" xfId="0" applyNumberFormat="1" applyFont="1" applyBorder="1" applyAlignment="1">
      <alignment/>
    </xf>
    <xf numFmtId="41" fontId="6" fillId="0" borderId="43" xfId="0" applyNumberFormat="1" applyFont="1" applyBorder="1" applyAlignment="1">
      <alignment/>
    </xf>
    <xf numFmtId="41" fontId="6" fillId="0" borderId="44" xfId="0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/>
    </xf>
    <xf numFmtId="41" fontId="6" fillId="0" borderId="23" xfId="0" applyNumberFormat="1" applyFont="1" applyFill="1" applyBorder="1" applyAlignment="1">
      <alignment/>
    </xf>
    <xf numFmtId="41" fontId="6" fillId="0" borderId="37" xfId="0" applyNumberFormat="1" applyFont="1" applyFill="1" applyBorder="1" applyAlignment="1">
      <alignment/>
    </xf>
    <xf numFmtId="41" fontId="6" fillId="0" borderId="25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24" xfId="0" applyNumberFormat="1" applyFont="1" applyFill="1" applyBorder="1" applyAlignment="1">
      <alignment/>
    </xf>
    <xf numFmtId="41" fontId="6" fillId="0" borderId="2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6" fontId="8" fillId="33" borderId="45" xfId="0" applyNumberFormat="1" applyFont="1" applyFill="1" applyBorder="1" applyAlignment="1">
      <alignment vertical="center"/>
    </xf>
    <xf numFmtId="176" fontId="8" fillId="33" borderId="46" xfId="0" applyNumberFormat="1" applyFont="1" applyFill="1" applyBorder="1" applyAlignment="1">
      <alignment vertical="center"/>
    </xf>
    <xf numFmtId="0" fontId="6" fillId="0" borderId="0" xfId="0" applyFont="1" applyBorder="1" applyAlignment="1" quotePrefix="1">
      <alignment/>
    </xf>
    <xf numFmtId="0" fontId="8" fillId="0" borderId="0" xfId="0" applyFont="1" applyBorder="1" applyAlignment="1" quotePrefix="1">
      <alignment horizontal="center" vertical="center"/>
    </xf>
    <xf numFmtId="176" fontId="8" fillId="33" borderId="47" xfId="0" applyNumberFormat="1" applyFont="1" applyFill="1" applyBorder="1" applyAlignment="1">
      <alignment vertical="center"/>
    </xf>
    <xf numFmtId="41" fontId="8" fillId="33" borderId="48" xfId="0" applyNumberFormat="1" applyFont="1" applyFill="1" applyBorder="1" applyAlignment="1">
      <alignment vertical="center"/>
    </xf>
    <xf numFmtId="41" fontId="8" fillId="33" borderId="49" xfId="0" applyNumberFormat="1" applyFont="1" applyFill="1" applyBorder="1" applyAlignment="1">
      <alignment vertical="center"/>
    </xf>
    <xf numFmtId="41" fontId="8" fillId="33" borderId="50" xfId="0" applyNumberFormat="1" applyFont="1" applyFill="1" applyBorder="1" applyAlignment="1">
      <alignment vertical="center"/>
    </xf>
    <xf numFmtId="41" fontId="8" fillId="33" borderId="51" xfId="0" applyNumberFormat="1" applyFont="1" applyFill="1" applyBorder="1" applyAlignment="1">
      <alignment vertical="center"/>
    </xf>
    <xf numFmtId="41" fontId="8" fillId="33" borderId="16" xfId="0" applyNumberFormat="1" applyFont="1" applyFill="1" applyBorder="1" applyAlignment="1">
      <alignment vertical="center"/>
    </xf>
    <xf numFmtId="41" fontId="8" fillId="33" borderId="52" xfId="0" applyNumberFormat="1" applyFont="1" applyFill="1" applyBorder="1" applyAlignment="1">
      <alignment vertical="center"/>
    </xf>
    <xf numFmtId="41" fontId="8" fillId="33" borderId="53" xfId="0" applyNumberFormat="1" applyFont="1" applyFill="1" applyBorder="1" applyAlignment="1">
      <alignment vertical="center"/>
    </xf>
    <xf numFmtId="41" fontId="8" fillId="33" borderId="45" xfId="0" applyNumberFormat="1" applyFont="1" applyFill="1" applyBorder="1" applyAlignment="1">
      <alignment vertical="center"/>
    </xf>
    <xf numFmtId="180" fontId="8" fillId="33" borderId="45" xfId="0" applyNumberFormat="1" applyFont="1" applyFill="1" applyBorder="1" applyAlignment="1">
      <alignment vertical="center"/>
    </xf>
    <xf numFmtId="176" fontId="8" fillId="33" borderId="48" xfId="0" applyNumberFormat="1" applyFont="1" applyFill="1" applyBorder="1" applyAlignment="1">
      <alignment vertical="center"/>
    </xf>
    <xf numFmtId="176" fontId="8" fillId="33" borderId="49" xfId="0" applyNumberFormat="1" applyFont="1" applyFill="1" applyBorder="1" applyAlignment="1">
      <alignment vertical="center"/>
    </xf>
    <xf numFmtId="176" fontId="8" fillId="33" borderId="50" xfId="0" applyNumberFormat="1" applyFont="1" applyFill="1" applyBorder="1" applyAlignment="1">
      <alignment vertical="center"/>
    </xf>
    <xf numFmtId="176" fontId="8" fillId="33" borderId="51" xfId="0" applyNumberFormat="1" applyFont="1" applyFill="1" applyBorder="1" applyAlignment="1">
      <alignment vertical="center"/>
    </xf>
    <xf numFmtId="176" fontId="8" fillId="33" borderId="16" xfId="0" applyNumberFormat="1" applyFont="1" applyFill="1" applyBorder="1" applyAlignment="1">
      <alignment vertical="center"/>
    </xf>
    <xf numFmtId="176" fontId="8" fillId="33" borderId="52" xfId="0" applyNumberFormat="1" applyFont="1" applyFill="1" applyBorder="1" applyAlignment="1">
      <alignment vertical="center"/>
    </xf>
    <xf numFmtId="176" fontId="8" fillId="33" borderId="53" xfId="0" applyNumberFormat="1" applyFont="1" applyFill="1" applyBorder="1" applyAlignment="1">
      <alignment vertical="center"/>
    </xf>
    <xf numFmtId="41" fontId="6" fillId="0" borderId="54" xfId="0" applyNumberFormat="1" applyFont="1" applyBorder="1" applyAlignment="1">
      <alignment/>
    </xf>
    <xf numFmtId="41" fontId="6" fillId="0" borderId="55" xfId="0" applyNumberFormat="1" applyFont="1" applyBorder="1" applyAlignment="1">
      <alignment/>
    </xf>
    <xf numFmtId="41" fontId="6" fillId="0" borderId="56" xfId="0" applyNumberFormat="1" applyFont="1" applyBorder="1" applyAlignment="1">
      <alignment/>
    </xf>
    <xf numFmtId="0" fontId="6" fillId="0" borderId="12" xfId="0" applyFont="1" applyBorder="1" applyAlignment="1">
      <alignment shrinkToFit="1"/>
    </xf>
    <xf numFmtId="0" fontId="6" fillId="0" borderId="1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/>
    <dxf/>
    <dxf/>
    <dxf/>
    <dxf/>
    <dxf/>
    <dxf/>
    <dxf/>
    <dxf/>
    <dxf/>
    <dxf/>
    <dxf/>
    <dxf/>
    <dxf/>
    <dxf/>
    <dxf/>
    <dxf/>
    <dxf/>
    <dxf>
      <numFmt numFmtId="176" formatCode="#,##0;&quot;△ &quot;#,##0"/>
      <border/>
    </dxf>
    <dxf>
      <numFmt numFmtId="41" formatCode="_ * #,##0_ ;_ * \-#,##0_ ;_ * &quot;-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85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>
      <c r="A13" s="8" t="s">
        <v>47</v>
      </c>
      <c r="B13" s="14" t="s">
        <v>1</v>
      </c>
      <c r="C13" s="19">
        <v>6</v>
      </c>
      <c r="D13" s="25">
        <v>470</v>
      </c>
      <c r="E13" s="43">
        <v>0</v>
      </c>
      <c r="F13" s="29">
        <v>117</v>
      </c>
      <c r="G13" s="19">
        <v>0</v>
      </c>
      <c r="H13" s="25">
        <v>0</v>
      </c>
      <c r="I13" s="19">
        <v>0</v>
      </c>
      <c r="J13" s="25">
        <v>1</v>
      </c>
      <c r="K13" s="19">
        <v>2</v>
      </c>
      <c r="L13" s="25">
        <v>65</v>
      </c>
      <c r="M13" s="19">
        <v>1</v>
      </c>
      <c r="N13" s="25">
        <v>52</v>
      </c>
      <c r="O13" s="19">
        <v>1</v>
      </c>
      <c r="P13" s="25">
        <v>12</v>
      </c>
      <c r="Q13" s="19">
        <v>1</v>
      </c>
      <c r="R13" s="25">
        <v>73</v>
      </c>
      <c r="S13" s="19">
        <v>1</v>
      </c>
      <c r="T13" s="25">
        <v>33</v>
      </c>
      <c r="U13" s="19">
        <v>0</v>
      </c>
      <c r="V13" s="29">
        <v>11</v>
      </c>
      <c r="W13" s="19">
        <v>0</v>
      </c>
      <c r="X13" s="25">
        <v>15</v>
      </c>
      <c r="Y13" s="19">
        <v>0</v>
      </c>
      <c r="Z13" s="29">
        <v>91</v>
      </c>
    </row>
    <row r="14" spans="1:26" s="14" customFormat="1" ht="18.75" customHeight="1">
      <c r="A14" s="8" t="s">
        <v>48</v>
      </c>
      <c r="B14" s="14" t="s">
        <v>1</v>
      </c>
      <c r="C14" s="19">
        <v>7</v>
      </c>
      <c r="D14" s="25">
        <v>502</v>
      </c>
      <c r="E14" s="43">
        <v>2</v>
      </c>
      <c r="F14" s="29">
        <v>119</v>
      </c>
      <c r="G14" s="19">
        <v>0</v>
      </c>
      <c r="H14" s="25">
        <v>0</v>
      </c>
      <c r="I14" s="19">
        <v>0</v>
      </c>
      <c r="J14" s="25">
        <v>2</v>
      </c>
      <c r="K14" s="19">
        <v>1</v>
      </c>
      <c r="L14" s="25">
        <v>87</v>
      </c>
      <c r="M14" s="19">
        <v>1</v>
      </c>
      <c r="N14" s="25">
        <v>54</v>
      </c>
      <c r="O14" s="19">
        <v>0</v>
      </c>
      <c r="P14" s="25">
        <v>8</v>
      </c>
      <c r="Q14" s="19">
        <v>2</v>
      </c>
      <c r="R14" s="25">
        <v>70</v>
      </c>
      <c r="S14" s="19">
        <v>0</v>
      </c>
      <c r="T14" s="25">
        <v>43</v>
      </c>
      <c r="U14" s="19">
        <v>0</v>
      </c>
      <c r="V14" s="29">
        <v>10</v>
      </c>
      <c r="W14" s="19">
        <v>0</v>
      </c>
      <c r="X14" s="25">
        <v>17</v>
      </c>
      <c r="Y14" s="19">
        <v>1</v>
      </c>
      <c r="Z14" s="29">
        <v>92</v>
      </c>
    </row>
    <row r="15" spans="1:26" s="14" customFormat="1" ht="18.75" customHeight="1">
      <c r="A15" s="8" t="s">
        <v>49</v>
      </c>
      <c r="B15" s="14" t="s">
        <v>1</v>
      </c>
      <c r="C15" s="19">
        <v>7</v>
      </c>
      <c r="D15" s="25">
        <v>549</v>
      </c>
      <c r="E15" s="43">
        <v>1</v>
      </c>
      <c r="F15" s="29">
        <v>135</v>
      </c>
      <c r="G15" s="19">
        <v>0</v>
      </c>
      <c r="H15" s="25">
        <v>1</v>
      </c>
      <c r="I15" s="19">
        <v>0</v>
      </c>
      <c r="J15" s="25">
        <v>1</v>
      </c>
      <c r="K15" s="19">
        <v>2</v>
      </c>
      <c r="L15" s="25">
        <v>82</v>
      </c>
      <c r="M15" s="19">
        <v>0</v>
      </c>
      <c r="N15" s="25">
        <v>65</v>
      </c>
      <c r="O15" s="19">
        <v>0</v>
      </c>
      <c r="P15" s="25">
        <v>13</v>
      </c>
      <c r="Q15" s="19">
        <v>1</v>
      </c>
      <c r="R15" s="25">
        <v>53</v>
      </c>
      <c r="S15" s="19">
        <v>1</v>
      </c>
      <c r="T15" s="25">
        <v>50</v>
      </c>
      <c r="U15" s="19">
        <v>0</v>
      </c>
      <c r="V15" s="29">
        <v>25</v>
      </c>
      <c r="W15" s="19">
        <v>1</v>
      </c>
      <c r="X15" s="25">
        <v>26</v>
      </c>
      <c r="Y15" s="19">
        <v>1</v>
      </c>
      <c r="Z15" s="29">
        <v>98</v>
      </c>
    </row>
    <row r="16" spans="1:26" s="14" customFormat="1" ht="18.75" customHeight="1">
      <c r="A16" s="8" t="s">
        <v>50</v>
      </c>
      <c r="B16" s="14" t="s">
        <v>1</v>
      </c>
      <c r="C16" s="19">
        <v>7</v>
      </c>
      <c r="D16" s="25">
        <v>538</v>
      </c>
      <c r="E16" s="43">
        <v>0</v>
      </c>
      <c r="F16" s="29">
        <v>124</v>
      </c>
      <c r="G16" s="19">
        <v>0</v>
      </c>
      <c r="H16" s="25">
        <v>0</v>
      </c>
      <c r="I16" s="19">
        <v>0</v>
      </c>
      <c r="J16" s="25">
        <v>3</v>
      </c>
      <c r="K16" s="19">
        <v>2</v>
      </c>
      <c r="L16" s="25">
        <v>93</v>
      </c>
      <c r="M16" s="19">
        <v>1</v>
      </c>
      <c r="N16" s="25">
        <v>64</v>
      </c>
      <c r="O16" s="19">
        <v>2</v>
      </c>
      <c r="P16" s="25">
        <v>7</v>
      </c>
      <c r="Q16" s="19">
        <v>0</v>
      </c>
      <c r="R16" s="25">
        <v>64</v>
      </c>
      <c r="S16" s="19">
        <v>0</v>
      </c>
      <c r="T16" s="25">
        <v>47</v>
      </c>
      <c r="U16" s="19">
        <v>1</v>
      </c>
      <c r="V16" s="29">
        <v>21</v>
      </c>
      <c r="W16" s="19">
        <v>0</v>
      </c>
      <c r="X16" s="25">
        <v>25</v>
      </c>
      <c r="Y16" s="19">
        <v>1</v>
      </c>
      <c r="Z16" s="29">
        <v>90</v>
      </c>
    </row>
    <row r="17" spans="1:26" s="14" customFormat="1" ht="18.75" customHeight="1">
      <c r="A17" s="8" t="s">
        <v>51</v>
      </c>
      <c r="B17" s="14" t="s">
        <v>1</v>
      </c>
      <c r="C17" s="19">
        <v>5</v>
      </c>
      <c r="D17" s="25">
        <v>508</v>
      </c>
      <c r="E17" s="43">
        <v>0</v>
      </c>
      <c r="F17" s="29">
        <v>130</v>
      </c>
      <c r="G17" s="19">
        <v>0</v>
      </c>
      <c r="H17" s="25">
        <v>0</v>
      </c>
      <c r="I17" s="19">
        <v>0</v>
      </c>
      <c r="J17" s="25">
        <v>1</v>
      </c>
      <c r="K17" s="19">
        <v>3</v>
      </c>
      <c r="L17" s="25">
        <v>76</v>
      </c>
      <c r="M17" s="19">
        <v>2</v>
      </c>
      <c r="N17" s="25">
        <v>69</v>
      </c>
      <c r="O17" s="19">
        <v>0</v>
      </c>
      <c r="P17" s="25">
        <v>10</v>
      </c>
      <c r="Q17" s="19">
        <v>0</v>
      </c>
      <c r="R17" s="25">
        <v>72</v>
      </c>
      <c r="S17" s="19">
        <v>0</v>
      </c>
      <c r="T17" s="25">
        <v>36</v>
      </c>
      <c r="U17" s="19">
        <v>0</v>
      </c>
      <c r="V17" s="29">
        <v>14</v>
      </c>
      <c r="W17" s="19">
        <v>0</v>
      </c>
      <c r="X17" s="25">
        <v>21</v>
      </c>
      <c r="Y17" s="19">
        <v>0</v>
      </c>
      <c r="Z17" s="29">
        <v>79</v>
      </c>
    </row>
    <row r="18" spans="1:26" s="14" customFormat="1" ht="18.75" customHeight="1">
      <c r="A18" s="8" t="s">
        <v>52</v>
      </c>
      <c r="B18" s="14" t="s">
        <v>1</v>
      </c>
      <c r="C18" s="19">
        <v>7</v>
      </c>
      <c r="D18" s="25">
        <v>474</v>
      </c>
      <c r="E18" s="43">
        <v>0</v>
      </c>
      <c r="F18" s="27">
        <v>109</v>
      </c>
      <c r="G18" s="28">
        <v>0</v>
      </c>
      <c r="H18" s="25">
        <v>0</v>
      </c>
      <c r="I18" s="19">
        <v>0</v>
      </c>
      <c r="J18" s="25">
        <v>5</v>
      </c>
      <c r="K18" s="19">
        <v>1</v>
      </c>
      <c r="L18" s="25">
        <v>64</v>
      </c>
      <c r="M18" s="19">
        <v>1</v>
      </c>
      <c r="N18" s="29">
        <v>66</v>
      </c>
      <c r="O18" s="28">
        <v>0</v>
      </c>
      <c r="P18" s="25">
        <v>6</v>
      </c>
      <c r="Q18" s="26">
        <v>3</v>
      </c>
      <c r="R18" s="28">
        <v>52</v>
      </c>
      <c r="S18" s="19">
        <v>0</v>
      </c>
      <c r="T18" s="25">
        <v>53</v>
      </c>
      <c r="U18" s="19">
        <v>0</v>
      </c>
      <c r="V18" s="29">
        <v>22</v>
      </c>
      <c r="W18" s="26">
        <v>0</v>
      </c>
      <c r="X18" s="27">
        <v>18</v>
      </c>
      <c r="Y18" s="28">
        <v>2</v>
      </c>
      <c r="Z18" s="29">
        <v>79</v>
      </c>
    </row>
    <row r="19" spans="1:26" s="14" customFormat="1" ht="18.75" customHeight="1">
      <c r="A19" s="8" t="s">
        <v>54</v>
      </c>
      <c r="B19" s="14" t="s">
        <v>1</v>
      </c>
      <c r="C19" s="19">
        <v>5</v>
      </c>
      <c r="D19" s="25">
        <v>498</v>
      </c>
      <c r="E19" s="43">
        <v>1</v>
      </c>
      <c r="F19" s="27">
        <v>101</v>
      </c>
      <c r="G19" s="28">
        <v>0</v>
      </c>
      <c r="H19" s="25">
        <v>3</v>
      </c>
      <c r="I19" s="26">
        <v>0</v>
      </c>
      <c r="J19" s="29">
        <v>1</v>
      </c>
      <c r="K19" s="28">
        <v>1</v>
      </c>
      <c r="L19" s="25">
        <v>71</v>
      </c>
      <c r="M19" s="26">
        <v>2</v>
      </c>
      <c r="N19" s="27">
        <v>57</v>
      </c>
      <c r="O19" s="28">
        <v>1</v>
      </c>
      <c r="P19" s="25">
        <v>11</v>
      </c>
      <c r="Q19" s="26">
        <v>0</v>
      </c>
      <c r="R19" s="28">
        <v>36</v>
      </c>
      <c r="S19" s="26">
        <v>0</v>
      </c>
      <c r="T19" s="27">
        <v>70</v>
      </c>
      <c r="U19" s="28">
        <v>0</v>
      </c>
      <c r="V19" s="29">
        <v>16</v>
      </c>
      <c r="W19" s="26">
        <v>0</v>
      </c>
      <c r="X19" s="27">
        <v>22</v>
      </c>
      <c r="Y19" s="28">
        <v>0</v>
      </c>
      <c r="Z19" s="29">
        <v>110</v>
      </c>
    </row>
    <row r="20" spans="1:26" s="14" customFormat="1" ht="18.75" customHeight="1">
      <c r="A20" s="8" t="s">
        <v>78</v>
      </c>
      <c r="B20" s="14" t="s">
        <v>1</v>
      </c>
      <c r="C20" s="19">
        <v>6</v>
      </c>
      <c r="D20" s="25">
        <v>442</v>
      </c>
      <c r="E20" s="43">
        <v>0</v>
      </c>
      <c r="F20" s="27">
        <v>91</v>
      </c>
      <c r="G20" s="28">
        <v>0</v>
      </c>
      <c r="H20" s="25">
        <v>0</v>
      </c>
      <c r="I20" s="26">
        <v>0</v>
      </c>
      <c r="J20" s="27">
        <v>2</v>
      </c>
      <c r="K20" s="28">
        <v>2</v>
      </c>
      <c r="L20" s="25">
        <v>58</v>
      </c>
      <c r="M20" s="26">
        <v>0</v>
      </c>
      <c r="N20" s="27">
        <v>55</v>
      </c>
      <c r="O20" s="28">
        <v>0</v>
      </c>
      <c r="P20" s="25">
        <v>9</v>
      </c>
      <c r="Q20" s="26">
        <v>1</v>
      </c>
      <c r="R20" s="28">
        <v>31</v>
      </c>
      <c r="S20" s="26">
        <v>0</v>
      </c>
      <c r="T20" s="27">
        <v>55</v>
      </c>
      <c r="U20" s="28">
        <v>2</v>
      </c>
      <c r="V20" s="29">
        <v>23</v>
      </c>
      <c r="W20" s="26">
        <v>0</v>
      </c>
      <c r="X20" s="27">
        <v>22</v>
      </c>
      <c r="Y20" s="28">
        <v>1</v>
      </c>
      <c r="Z20" s="29">
        <v>96</v>
      </c>
    </row>
    <row r="21" spans="1:26" s="14" customFormat="1" ht="18.75" customHeight="1">
      <c r="A21" s="86" t="s">
        <v>79</v>
      </c>
      <c r="B21" s="14" t="s">
        <v>1</v>
      </c>
      <c r="C21" s="19">
        <v>6</v>
      </c>
      <c r="D21" s="25">
        <v>469</v>
      </c>
      <c r="E21" s="43">
        <v>0</v>
      </c>
      <c r="F21" s="27">
        <v>73</v>
      </c>
      <c r="G21" s="28">
        <v>0</v>
      </c>
      <c r="H21" s="25">
        <v>0</v>
      </c>
      <c r="I21" s="26">
        <v>0</v>
      </c>
      <c r="J21" s="27">
        <v>1</v>
      </c>
      <c r="K21" s="28">
        <v>0</v>
      </c>
      <c r="L21" s="25">
        <v>75</v>
      </c>
      <c r="M21" s="26">
        <v>2</v>
      </c>
      <c r="N21" s="27">
        <v>79</v>
      </c>
      <c r="O21" s="28">
        <v>0</v>
      </c>
      <c r="P21" s="25">
        <v>7</v>
      </c>
      <c r="Q21" s="26">
        <v>2</v>
      </c>
      <c r="R21" s="28">
        <v>27</v>
      </c>
      <c r="S21" s="26">
        <v>0</v>
      </c>
      <c r="T21" s="27">
        <v>53</v>
      </c>
      <c r="U21" s="28">
        <v>0</v>
      </c>
      <c r="V21" s="29">
        <v>10</v>
      </c>
      <c r="W21" s="26">
        <v>1</v>
      </c>
      <c r="X21" s="27">
        <v>28</v>
      </c>
      <c r="Y21" s="28">
        <v>1</v>
      </c>
      <c r="Z21" s="29">
        <v>116</v>
      </c>
    </row>
    <row r="22" spans="1:26" s="14" customFormat="1" ht="18.75" customHeight="1">
      <c r="A22" s="86" t="s">
        <v>80</v>
      </c>
      <c r="B22" s="14" t="s">
        <v>77</v>
      </c>
      <c r="C22" s="19">
        <v>1</v>
      </c>
      <c r="D22" s="25">
        <v>454</v>
      </c>
      <c r="E22" s="43">
        <v>0</v>
      </c>
      <c r="F22" s="27">
        <v>83</v>
      </c>
      <c r="G22" s="28">
        <v>0</v>
      </c>
      <c r="H22" s="25">
        <v>1</v>
      </c>
      <c r="I22" s="26">
        <v>0</v>
      </c>
      <c r="J22" s="27">
        <v>4</v>
      </c>
      <c r="K22" s="28">
        <v>0</v>
      </c>
      <c r="L22" s="25">
        <v>57</v>
      </c>
      <c r="M22" s="26">
        <v>1</v>
      </c>
      <c r="N22" s="27">
        <v>76</v>
      </c>
      <c r="O22" s="28">
        <v>0</v>
      </c>
      <c r="P22" s="25">
        <v>4</v>
      </c>
      <c r="Q22" s="26">
        <v>0</v>
      </c>
      <c r="R22" s="28">
        <v>23</v>
      </c>
      <c r="S22" s="26">
        <v>0</v>
      </c>
      <c r="T22" s="29">
        <v>73</v>
      </c>
      <c r="U22" s="28">
        <v>0</v>
      </c>
      <c r="V22" s="29">
        <v>22</v>
      </c>
      <c r="W22" s="26">
        <v>0</v>
      </c>
      <c r="X22" s="27">
        <v>16</v>
      </c>
      <c r="Y22" s="28">
        <v>0</v>
      </c>
      <c r="Z22" s="29">
        <v>95</v>
      </c>
    </row>
    <row r="23" spans="1:26" s="14" customFormat="1" ht="18.75" customHeight="1" thickBot="1">
      <c r="A23" s="86" t="s">
        <v>81</v>
      </c>
      <c r="B23" s="14" t="s">
        <v>77</v>
      </c>
      <c r="C23" s="19">
        <f>SUM(C24:C35)</f>
        <v>6</v>
      </c>
      <c r="D23" s="25">
        <f aca="true" t="shared" si="0" ref="D23:Z23">SUM(D24:D35)</f>
        <v>714</v>
      </c>
      <c r="E23" s="43">
        <f t="shared" si="0"/>
        <v>1</v>
      </c>
      <c r="F23" s="27">
        <f t="shared" si="0"/>
        <v>81</v>
      </c>
      <c r="G23" s="28">
        <f t="shared" si="0"/>
        <v>0</v>
      </c>
      <c r="H23" s="25">
        <f t="shared" si="0"/>
        <v>2</v>
      </c>
      <c r="I23" s="26">
        <f t="shared" si="0"/>
        <v>0</v>
      </c>
      <c r="J23" s="27">
        <f t="shared" si="0"/>
        <v>2</v>
      </c>
      <c r="K23" s="28">
        <f t="shared" si="0"/>
        <v>1</v>
      </c>
      <c r="L23" s="25">
        <f t="shared" si="0"/>
        <v>74</v>
      </c>
      <c r="M23" s="26">
        <f t="shared" si="0"/>
        <v>2</v>
      </c>
      <c r="N23" s="27">
        <f t="shared" si="0"/>
        <v>92</v>
      </c>
      <c r="O23" s="28">
        <f t="shared" si="0"/>
        <v>0</v>
      </c>
      <c r="P23" s="25">
        <f t="shared" si="0"/>
        <v>11</v>
      </c>
      <c r="Q23" s="26">
        <f t="shared" si="0"/>
        <v>0</v>
      </c>
      <c r="R23" s="28">
        <f t="shared" si="0"/>
        <v>37</v>
      </c>
      <c r="S23" s="85">
        <f t="shared" si="0"/>
        <v>0</v>
      </c>
      <c r="T23" s="40">
        <f t="shared" si="0"/>
        <v>62</v>
      </c>
      <c r="U23" s="28">
        <f t="shared" si="0"/>
        <v>0</v>
      </c>
      <c r="V23" s="29">
        <f t="shared" si="0"/>
        <v>18</v>
      </c>
      <c r="W23" s="26">
        <f t="shared" si="0"/>
        <v>0</v>
      </c>
      <c r="X23" s="27">
        <f t="shared" si="0"/>
        <v>17</v>
      </c>
      <c r="Y23" s="28">
        <f t="shared" si="0"/>
        <v>2</v>
      </c>
      <c r="Z23" s="29">
        <f t="shared" si="0"/>
        <v>318</v>
      </c>
    </row>
    <row r="24" spans="1:26" s="5" customFormat="1" ht="16.5" customHeight="1" thickTop="1">
      <c r="A24" s="15" t="s">
        <v>83</v>
      </c>
      <c r="B24" s="16" t="s">
        <v>2</v>
      </c>
      <c r="C24" s="20">
        <f aca="true" t="shared" si="1" ref="C24:C35">SUM(E24,G24,I24,K24,M24,O24,Q24,S24,U24,W24,Y24)</f>
        <v>0</v>
      </c>
      <c r="D24" s="30">
        <f>SUM(F24,H24,J24,L24,N24,P24,R24,T24,V24,X24,Z24)</f>
        <v>78</v>
      </c>
      <c r="E24" s="45">
        <v>0</v>
      </c>
      <c r="F24" s="32">
        <v>11</v>
      </c>
      <c r="G24" s="33">
        <v>0</v>
      </c>
      <c r="H24" s="30">
        <v>1</v>
      </c>
      <c r="I24" s="31">
        <v>0</v>
      </c>
      <c r="J24" s="32">
        <v>0</v>
      </c>
      <c r="K24" s="33">
        <v>0</v>
      </c>
      <c r="L24" s="30">
        <v>5</v>
      </c>
      <c r="M24" s="31">
        <v>0</v>
      </c>
      <c r="N24" s="32">
        <v>11</v>
      </c>
      <c r="O24" s="33">
        <v>0</v>
      </c>
      <c r="P24" s="30">
        <v>2</v>
      </c>
      <c r="Q24" s="31">
        <v>0</v>
      </c>
      <c r="R24" s="32">
        <v>2</v>
      </c>
      <c r="S24" s="20">
        <v>0</v>
      </c>
      <c r="T24" s="34">
        <v>9</v>
      </c>
      <c r="U24" s="33">
        <v>0</v>
      </c>
      <c r="V24" s="34">
        <v>1</v>
      </c>
      <c r="W24" s="31">
        <v>0</v>
      </c>
      <c r="X24" s="32">
        <v>3</v>
      </c>
      <c r="Y24" s="33">
        <v>0</v>
      </c>
      <c r="Z24" s="34">
        <v>33</v>
      </c>
    </row>
    <row r="25" spans="1:26" s="5" customFormat="1" ht="16.5" customHeight="1">
      <c r="A25" s="8"/>
      <c r="B25" s="9" t="s">
        <v>3</v>
      </c>
      <c r="C25" s="19">
        <f>SUM(E25,G25,I25,K25,M25,O25,Q25,S25,U25,W25,Y25)</f>
        <v>1</v>
      </c>
      <c r="D25" s="25">
        <f aca="true" t="shared" si="2" ref="D25:D35">SUM(F25,H25,J25,L25,N25,P25,R25,T25,V25,X25,Z25)</f>
        <v>73</v>
      </c>
      <c r="E25" s="43">
        <v>1</v>
      </c>
      <c r="F25" s="27">
        <v>5</v>
      </c>
      <c r="G25" s="28">
        <v>0</v>
      </c>
      <c r="H25" s="25">
        <v>0</v>
      </c>
      <c r="I25" s="26">
        <v>0</v>
      </c>
      <c r="J25" s="27">
        <v>0</v>
      </c>
      <c r="K25" s="28">
        <v>0</v>
      </c>
      <c r="L25" s="25">
        <v>4</v>
      </c>
      <c r="M25" s="26">
        <v>0</v>
      </c>
      <c r="N25" s="27">
        <v>8</v>
      </c>
      <c r="O25" s="28">
        <v>0</v>
      </c>
      <c r="P25" s="25">
        <v>1</v>
      </c>
      <c r="Q25" s="26">
        <v>0</v>
      </c>
      <c r="R25" s="27">
        <v>3</v>
      </c>
      <c r="S25" s="19">
        <v>0</v>
      </c>
      <c r="T25" s="29">
        <v>15</v>
      </c>
      <c r="U25" s="28">
        <v>0</v>
      </c>
      <c r="V25" s="29">
        <v>0</v>
      </c>
      <c r="W25" s="26">
        <v>0</v>
      </c>
      <c r="X25" s="27">
        <v>3</v>
      </c>
      <c r="Y25" s="28">
        <v>0</v>
      </c>
      <c r="Z25" s="29">
        <v>34</v>
      </c>
    </row>
    <row r="26" spans="1:26" s="5" customFormat="1" ht="16.5" customHeight="1">
      <c r="A26" s="8"/>
      <c r="B26" s="9" t="s">
        <v>4</v>
      </c>
      <c r="C26" s="19">
        <f t="shared" si="1"/>
        <v>0</v>
      </c>
      <c r="D26" s="25">
        <f t="shared" si="2"/>
        <v>49</v>
      </c>
      <c r="E26" s="43">
        <v>0</v>
      </c>
      <c r="F26" s="27">
        <v>5</v>
      </c>
      <c r="G26" s="28">
        <v>0</v>
      </c>
      <c r="H26" s="25">
        <v>0</v>
      </c>
      <c r="I26" s="26">
        <v>0</v>
      </c>
      <c r="J26" s="27">
        <v>0</v>
      </c>
      <c r="K26" s="28">
        <v>0</v>
      </c>
      <c r="L26" s="25">
        <v>1</v>
      </c>
      <c r="M26" s="26">
        <v>0</v>
      </c>
      <c r="N26" s="27">
        <v>12</v>
      </c>
      <c r="O26" s="28">
        <v>0</v>
      </c>
      <c r="P26" s="25">
        <v>1</v>
      </c>
      <c r="Q26" s="26">
        <v>0</v>
      </c>
      <c r="R26" s="27">
        <v>3</v>
      </c>
      <c r="S26" s="19">
        <v>0</v>
      </c>
      <c r="T26" s="29">
        <v>5</v>
      </c>
      <c r="U26" s="28">
        <v>0</v>
      </c>
      <c r="V26" s="29">
        <v>5</v>
      </c>
      <c r="W26" s="26">
        <v>0</v>
      </c>
      <c r="X26" s="27">
        <v>2</v>
      </c>
      <c r="Y26" s="28">
        <v>0</v>
      </c>
      <c r="Z26" s="29">
        <v>15</v>
      </c>
    </row>
    <row r="27" spans="1:26" s="5" customFormat="1" ht="16.5" customHeight="1">
      <c r="A27" s="8"/>
      <c r="B27" s="9" t="s">
        <v>5</v>
      </c>
      <c r="C27" s="19">
        <f t="shared" si="1"/>
        <v>0</v>
      </c>
      <c r="D27" s="25">
        <f t="shared" si="2"/>
        <v>33</v>
      </c>
      <c r="E27" s="43">
        <v>0</v>
      </c>
      <c r="F27" s="27">
        <v>6</v>
      </c>
      <c r="G27" s="28">
        <v>0</v>
      </c>
      <c r="H27" s="25">
        <v>0</v>
      </c>
      <c r="I27" s="26">
        <v>0</v>
      </c>
      <c r="J27" s="27">
        <v>0</v>
      </c>
      <c r="K27" s="28">
        <v>0</v>
      </c>
      <c r="L27" s="25">
        <v>6</v>
      </c>
      <c r="M27" s="26">
        <v>0</v>
      </c>
      <c r="N27" s="27">
        <v>5</v>
      </c>
      <c r="O27" s="28">
        <v>0</v>
      </c>
      <c r="P27" s="25">
        <v>0</v>
      </c>
      <c r="Q27" s="26">
        <v>0</v>
      </c>
      <c r="R27" s="27">
        <v>3</v>
      </c>
      <c r="S27" s="19">
        <v>0</v>
      </c>
      <c r="T27" s="29">
        <v>2</v>
      </c>
      <c r="U27" s="28">
        <v>0</v>
      </c>
      <c r="V27" s="29">
        <v>3</v>
      </c>
      <c r="W27" s="26">
        <v>0</v>
      </c>
      <c r="X27" s="27">
        <v>2</v>
      </c>
      <c r="Y27" s="28">
        <v>0</v>
      </c>
      <c r="Z27" s="29">
        <v>6</v>
      </c>
    </row>
    <row r="28" spans="1:26" s="5" customFormat="1" ht="16.5" customHeight="1">
      <c r="A28" s="8"/>
      <c r="B28" s="9" t="s">
        <v>6</v>
      </c>
      <c r="C28" s="19">
        <f t="shared" si="1"/>
        <v>2</v>
      </c>
      <c r="D28" s="25">
        <f t="shared" si="2"/>
        <v>68</v>
      </c>
      <c r="E28" s="43">
        <v>0</v>
      </c>
      <c r="F28" s="27">
        <v>8</v>
      </c>
      <c r="G28" s="28">
        <v>0</v>
      </c>
      <c r="H28" s="25">
        <v>0</v>
      </c>
      <c r="I28" s="26">
        <v>0</v>
      </c>
      <c r="J28" s="27">
        <v>0</v>
      </c>
      <c r="K28" s="28">
        <v>0</v>
      </c>
      <c r="L28" s="25">
        <v>6</v>
      </c>
      <c r="M28" s="26">
        <v>2</v>
      </c>
      <c r="N28" s="27">
        <v>5</v>
      </c>
      <c r="O28" s="28">
        <v>0</v>
      </c>
      <c r="P28" s="25">
        <v>0</v>
      </c>
      <c r="Q28" s="26">
        <v>0</v>
      </c>
      <c r="R28" s="27">
        <v>4</v>
      </c>
      <c r="S28" s="19">
        <v>0</v>
      </c>
      <c r="T28" s="29">
        <v>4</v>
      </c>
      <c r="U28" s="28">
        <v>0</v>
      </c>
      <c r="V28" s="29">
        <v>3</v>
      </c>
      <c r="W28" s="26">
        <v>0</v>
      </c>
      <c r="X28" s="27">
        <v>0</v>
      </c>
      <c r="Y28" s="28">
        <v>0</v>
      </c>
      <c r="Z28" s="29">
        <v>38</v>
      </c>
    </row>
    <row r="29" spans="1:26" s="61" customFormat="1" ht="16.5" customHeight="1">
      <c r="A29" s="52"/>
      <c r="B29" s="53" t="s">
        <v>7</v>
      </c>
      <c r="C29" s="54">
        <f t="shared" si="1"/>
        <v>1</v>
      </c>
      <c r="D29" s="55">
        <f t="shared" si="2"/>
        <v>34</v>
      </c>
      <c r="E29" s="43">
        <v>0</v>
      </c>
      <c r="F29" s="57">
        <v>5</v>
      </c>
      <c r="G29" s="28">
        <v>0</v>
      </c>
      <c r="H29" s="25">
        <v>0</v>
      </c>
      <c r="I29" s="26">
        <v>0</v>
      </c>
      <c r="J29" s="27">
        <v>0</v>
      </c>
      <c r="K29" s="28">
        <v>1</v>
      </c>
      <c r="L29" s="55">
        <v>5</v>
      </c>
      <c r="M29" s="26">
        <v>0</v>
      </c>
      <c r="N29" s="57">
        <v>6</v>
      </c>
      <c r="O29" s="28">
        <v>0</v>
      </c>
      <c r="P29" s="55">
        <v>0</v>
      </c>
      <c r="Q29" s="26">
        <v>0</v>
      </c>
      <c r="R29" s="27">
        <v>4</v>
      </c>
      <c r="S29" s="19">
        <v>0</v>
      </c>
      <c r="T29" s="60">
        <v>2</v>
      </c>
      <c r="U29" s="58">
        <v>0</v>
      </c>
      <c r="V29" s="60">
        <v>2</v>
      </c>
      <c r="W29" s="26">
        <v>0</v>
      </c>
      <c r="X29" s="27">
        <v>1</v>
      </c>
      <c r="Y29" s="28">
        <v>0</v>
      </c>
      <c r="Z29" s="60">
        <v>9</v>
      </c>
    </row>
    <row r="30" spans="1:26" s="61" customFormat="1" ht="16.5" customHeight="1">
      <c r="A30" s="52"/>
      <c r="B30" s="53" t="s">
        <v>8</v>
      </c>
      <c r="C30" s="54">
        <f t="shared" si="1"/>
        <v>0</v>
      </c>
      <c r="D30" s="55">
        <f t="shared" si="2"/>
        <v>54</v>
      </c>
      <c r="E30" s="56">
        <v>0</v>
      </c>
      <c r="F30" s="57">
        <v>9</v>
      </c>
      <c r="G30" s="58">
        <v>0</v>
      </c>
      <c r="H30" s="55">
        <v>0</v>
      </c>
      <c r="I30" s="59">
        <v>0</v>
      </c>
      <c r="J30" s="57">
        <v>0</v>
      </c>
      <c r="K30" s="58">
        <v>0</v>
      </c>
      <c r="L30" s="55">
        <v>10</v>
      </c>
      <c r="M30" s="59">
        <v>0</v>
      </c>
      <c r="N30" s="57">
        <v>8</v>
      </c>
      <c r="O30" s="58">
        <v>0</v>
      </c>
      <c r="P30" s="55">
        <v>1</v>
      </c>
      <c r="Q30" s="59">
        <v>0</v>
      </c>
      <c r="R30" s="57">
        <v>0</v>
      </c>
      <c r="S30" s="54">
        <v>0</v>
      </c>
      <c r="T30" s="60">
        <v>3</v>
      </c>
      <c r="U30" s="58">
        <v>0</v>
      </c>
      <c r="V30" s="60">
        <v>0</v>
      </c>
      <c r="W30" s="59">
        <v>0</v>
      </c>
      <c r="X30" s="57">
        <v>2</v>
      </c>
      <c r="Y30" s="58">
        <v>0</v>
      </c>
      <c r="Z30" s="60">
        <v>21</v>
      </c>
    </row>
    <row r="31" spans="1:26" s="5" customFormat="1" ht="16.5" customHeight="1">
      <c r="A31" s="8"/>
      <c r="B31" s="9" t="s">
        <v>9</v>
      </c>
      <c r="C31" s="19">
        <f t="shared" si="1"/>
        <v>0</v>
      </c>
      <c r="D31" s="25">
        <f t="shared" si="2"/>
        <v>56</v>
      </c>
      <c r="E31" s="43">
        <v>0</v>
      </c>
      <c r="F31" s="27">
        <v>5</v>
      </c>
      <c r="G31" s="28">
        <v>0</v>
      </c>
      <c r="H31" s="25">
        <v>0</v>
      </c>
      <c r="I31" s="26">
        <v>0</v>
      </c>
      <c r="J31" s="27">
        <v>0</v>
      </c>
      <c r="K31" s="28">
        <v>0</v>
      </c>
      <c r="L31" s="25">
        <v>5</v>
      </c>
      <c r="M31" s="26">
        <v>0</v>
      </c>
      <c r="N31" s="27">
        <v>9</v>
      </c>
      <c r="O31" s="28">
        <v>0</v>
      </c>
      <c r="P31" s="25">
        <v>3</v>
      </c>
      <c r="Q31" s="26">
        <v>0</v>
      </c>
      <c r="R31" s="27">
        <v>1</v>
      </c>
      <c r="S31" s="19">
        <v>0</v>
      </c>
      <c r="T31" s="29">
        <v>2</v>
      </c>
      <c r="U31" s="28">
        <v>0</v>
      </c>
      <c r="V31" s="29">
        <v>2</v>
      </c>
      <c r="W31" s="26">
        <v>0</v>
      </c>
      <c r="X31" s="27">
        <v>0</v>
      </c>
      <c r="Y31" s="28">
        <v>0</v>
      </c>
      <c r="Z31" s="29">
        <v>29</v>
      </c>
    </row>
    <row r="32" spans="1:26" s="5" customFormat="1" ht="16.5" customHeight="1">
      <c r="A32" s="8"/>
      <c r="B32" s="9" t="s">
        <v>10</v>
      </c>
      <c r="C32" s="19">
        <f t="shared" si="1"/>
        <v>0</v>
      </c>
      <c r="D32" s="25">
        <f t="shared" si="2"/>
        <v>47</v>
      </c>
      <c r="E32" s="43">
        <v>0</v>
      </c>
      <c r="F32" s="27">
        <v>6</v>
      </c>
      <c r="G32" s="28">
        <v>0</v>
      </c>
      <c r="H32" s="25">
        <v>0</v>
      </c>
      <c r="I32" s="26">
        <v>0</v>
      </c>
      <c r="J32" s="27">
        <v>1</v>
      </c>
      <c r="K32" s="28">
        <v>0</v>
      </c>
      <c r="L32" s="25">
        <v>6</v>
      </c>
      <c r="M32" s="26">
        <v>0</v>
      </c>
      <c r="N32" s="27">
        <v>6</v>
      </c>
      <c r="O32" s="28">
        <v>0</v>
      </c>
      <c r="P32" s="25">
        <v>1</v>
      </c>
      <c r="Q32" s="26">
        <v>0</v>
      </c>
      <c r="R32" s="27">
        <v>5</v>
      </c>
      <c r="S32" s="19">
        <v>0</v>
      </c>
      <c r="T32" s="29">
        <v>3</v>
      </c>
      <c r="U32" s="28">
        <v>0</v>
      </c>
      <c r="V32" s="29">
        <v>0</v>
      </c>
      <c r="W32" s="26">
        <v>0</v>
      </c>
      <c r="X32" s="27">
        <v>1</v>
      </c>
      <c r="Y32" s="28">
        <v>0</v>
      </c>
      <c r="Z32" s="29">
        <v>18</v>
      </c>
    </row>
    <row r="33" spans="1:26" s="5" customFormat="1" ht="16.5" customHeight="1">
      <c r="A33" s="8"/>
      <c r="B33" s="9" t="s">
        <v>11</v>
      </c>
      <c r="C33" s="19">
        <f t="shared" si="1"/>
        <v>2</v>
      </c>
      <c r="D33" s="25">
        <f t="shared" si="2"/>
        <v>55</v>
      </c>
      <c r="E33" s="43">
        <v>0</v>
      </c>
      <c r="F33" s="27">
        <v>7</v>
      </c>
      <c r="G33" s="28">
        <v>0</v>
      </c>
      <c r="H33" s="25">
        <v>0</v>
      </c>
      <c r="I33" s="26">
        <v>0</v>
      </c>
      <c r="J33" s="27">
        <v>0</v>
      </c>
      <c r="K33" s="28">
        <v>0</v>
      </c>
      <c r="L33" s="25">
        <v>10</v>
      </c>
      <c r="M33" s="26">
        <v>0</v>
      </c>
      <c r="N33" s="27">
        <v>9</v>
      </c>
      <c r="O33" s="28">
        <v>0</v>
      </c>
      <c r="P33" s="25">
        <v>0</v>
      </c>
      <c r="Q33" s="26">
        <v>0</v>
      </c>
      <c r="R33" s="27">
        <v>7</v>
      </c>
      <c r="S33" s="19">
        <v>0</v>
      </c>
      <c r="T33" s="29">
        <v>6</v>
      </c>
      <c r="U33" s="28">
        <v>0</v>
      </c>
      <c r="V33" s="29">
        <v>1</v>
      </c>
      <c r="W33" s="26">
        <v>0</v>
      </c>
      <c r="X33" s="27">
        <v>0</v>
      </c>
      <c r="Y33" s="28">
        <v>2</v>
      </c>
      <c r="Z33" s="29">
        <v>15</v>
      </c>
    </row>
    <row r="34" spans="1:26" s="5" customFormat="1" ht="16.5" customHeight="1">
      <c r="A34" s="8"/>
      <c r="B34" s="9" t="s">
        <v>12</v>
      </c>
      <c r="C34" s="19">
        <f t="shared" si="1"/>
        <v>0</v>
      </c>
      <c r="D34" s="25">
        <f t="shared" si="2"/>
        <v>89</v>
      </c>
      <c r="E34" s="43">
        <v>0</v>
      </c>
      <c r="F34" s="27">
        <v>6</v>
      </c>
      <c r="G34" s="28">
        <v>0</v>
      </c>
      <c r="H34" s="25">
        <v>1</v>
      </c>
      <c r="I34" s="26">
        <v>0</v>
      </c>
      <c r="J34" s="27">
        <v>1</v>
      </c>
      <c r="K34" s="28">
        <v>0</v>
      </c>
      <c r="L34" s="25">
        <v>8</v>
      </c>
      <c r="M34" s="26">
        <v>0</v>
      </c>
      <c r="N34" s="27">
        <v>6</v>
      </c>
      <c r="O34" s="28">
        <v>0</v>
      </c>
      <c r="P34" s="25">
        <v>1</v>
      </c>
      <c r="Q34" s="26">
        <v>0</v>
      </c>
      <c r="R34" s="27">
        <v>2</v>
      </c>
      <c r="S34" s="19">
        <v>0</v>
      </c>
      <c r="T34" s="29">
        <v>4</v>
      </c>
      <c r="U34" s="28">
        <v>0</v>
      </c>
      <c r="V34" s="29">
        <v>0</v>
      </c>
      <c r="W34" s="26">
        <v>0</v>
      </c>
      <c r="X34" s="27">
        <v>1</v>
      </c>
      <c r="Y34" s="28">
        <v>0</v>
      </c>
      <c r="Z34" s="29">
        <v>59</v>
      </c>
    </row>
    <row r="35" spans="1:26" s="5" customFormat="1" ht="16.5" customHeight="1" thickBot="1">
      <c r="A35" s="10"/>
      <c r="B35" s="11" t="s">
        <v>13</v>
      </c>
      <c r="C35" s="49">
        <f t="shared" si="1"/>
        <v>0</v>
      </c>
      <c r="D35" s="83">
        <f t="shared" si="2"/>
        <v>78</v>
      </c>
      <c r="E35" s="46">
        <v>0</v>
      </c>
      <c r="F35" s="37">
        <v>8</v>
      </c>
      <c r="G35" s="38">
        <v>0</v>
      </c>
      <c r="H35" s="35">
        <v>0</v>
      </c>
      <c r="I35" s="36">
        <v>0</v>
      </c>
      <c r="J35" s="37">
        <v>0</v>
      </c>
      <c r="K35" s="38">
        <v>0</v>
      </c>
      <c r="L35" s="35">
        <v>8</v>
      </c>
      <c r="M35" s="36">
        <v>0</v>
      </c>
      <c r="N35" s="37">
        <v>7</v>
      </c>
      <c r="O35" s="38">
        <v>0</v>
      </c>
      <c r="P35" s="35">
        <v>1</v>
      </c>
      <c r="Q35" s="36">
        <v>0</v>
      </c>
      <c r="R35" s="37">
        <v>3</v>
      </c>
      <c r="S35" s="21">
        <v>0</v>
      </c>
      <c r="T35" s="39">
        <v>7</v>
      </c>
      <c r="U35" s="38">
        <v>0</v>
      </c>
      <c r="V35" s="39">
        <v>1</v>
      </c>
      <c r="W35" s="36">
        <v>0</v>
      </c>
      <c r="X35" s="37">
        <v>2</v>
      </c>
      <c r="Y35" s="38">
        <v>0</v>
      </c>
      <c r="Z35" s="39">
        <v>41</v>
      </c>
    </row>
    <row r="36" spans="1:26" s="5" customFormat="1" ht="16.5" customHeight="1" thickTop="1">
      <c r="A36" s="15" t="s">
        <v>84</v>
      </c>
      <c r="B36" s="16" t="s">
        <v>2</v>
      </c>
      <c r="C36" s="54">
        <f aca="true" t="shared" si="3" ref="C36:D47">SUM(E36,G36,I36,K36,M36,O36,Q36,S36,U36,W36,Y36)</f>
        <v>0</v>
      </c>
      <c r="D36" s="55">
        <f t="shared" si="3"/>
        <v>56</v>
      </c>
      <c r="E36" s="45">
        <v>0</v>
      </c>
      <c r="F36" s="32">
        <v>14</v>
      </c>
      <c r="G36" s="33">
        <v>0</v>
      </c>
      <c r="H36" s="30">
        <v>0</v>
      </c>
      <c r="I36" s="31">
        <v>0</v>
      </c>
      <c r="J36" s="32">
        <v>1</v>
      </c>
      <c r="K36" s="33">
        <v>0</v>
      </c>
      <c r="L36" s="30">
        <v>2</v>
      </c>
      <c r="M36" s="31">
        <v>0</v>
      </c>
      <c r="N36" s="32">
        <v>4</v>
      </c>
      <c r="O36" s="33">
        <v>0</v>
      </c>
      <c r="P36" s="30">
        <v>1</v>
      </c>
      <c r="Q36" s="31">
        <v>0</v>
      </c>
      <c r="R36" s="32">
        <v>5</v>
      </c>
      <c r="S36" s="20">
        <v>0</v>
      </c>
      <c r="T36" s="34">
        <v>5</v>
      </c>
      <c r="U36" s="33">
        <v>0</v>
      </c>
      <c r="V36" s="34">
        <v>1</v>
      </c>
      <c r="W36" s="31">
        <v>0</v>
      </c>
      <c r="X36" s="32">
        <v>2</v>
      </c>
      <c r="Y36" s="33">
        <v>0</v>
      </c>
      <c r="Z36" s="34">
        <v>21</v>
      </c>
    </row>
    <row r="37" spans="1:26" s="5" customFormat="1" ht="16.5" customHeight="1">
      <c r="A37" s="8"/>
      <c r="B37" s="9" t="s">
        <v>3</v>
      </c>
      <c r="C37" s="54">
        <f t="shared" si="3"/>
        <v>1</v>
      </c>
      <c r="D37" s="55">
        <f t="shared" si="3"/>
        <v>58</v>
      </c>
      <c r="E37" s="43">
        <v>0</v>
      </c>
      <c r="F37" s="27">
        <v>8</v>
      </c>
      <c r="G37" s="28">
        <v>0</v>
      </c>
      <c r="H37" s="25">
        <v>0</v>
      </c>
      <c r="I37" s="26">
        <v>0</v>
      </c>
      <c r="J37" s="27">
        <v>0</v>
      </c>
      <c r="K37" s="28">
        <v>0</v>
      </c>
      <c r="L37" s="25">
        <v>4</v>
      </c>
      <c r="M37" s="26">
        <v>0</v>
      </c>
      <c r="N37" s="27">
        <v>11</v>
      </c>
      <c r="O37" s="28">
        <v>0</v>
      </c>
      <c r="P37" s="25">
        <v>2</v>
      </c>
      <c r="Q37" s="26">
        <v>0</v>
      </c>
      <c r="R37" s="27">
        <v>3</v>
      </c>
      <c r="S37" s="19">
        <v>1</v>
      </c>
      <c r="T37" s="29">
        <v>6</v>
      </c>
      <c r="U37" s="28">
        <v>0</v>
      </c>
      <c r="V37" s="29">
        <v>2</v>
      </c>
      <c r="W37" s="26">
        <v>0</v>
      </c>
      <c r="X37" s="27">
        <v>0</v>
      </c>
      <c r="Y37" s="28">
        <v>0</v>
      </c>
      <c r="Z37" s="29">
        <v>22</v>
      </c>
    </row>
    <row r="38" spans="1:26" s="5" customFormat="1" ht="16.5" customHeight="1">
      <c r="A38" s="8"/>
      <c r="B38" s="9" t="s">
        <v>4</v>
      </c>
      <c r="C38" s="54">
        <f>SUM(E38,G38,I38,K38,M38,O38,Q38,S38,U38,W38,Y38)</f>
        <v>1</v>
      </c>
      <c r="D38" s="55">
        <f t="shared" si="3"/>
        <v>36</v>
      </c>
      <c r="E38" s="43">
        <v>0</v>
      </c>
      <c r="F38" s="27">
        <v>8</v>
      </c>
      <c r="G38" s="28">
        <v>0</v>
      </c>
      <c r="H38" s="25">
        <v>0</v>
      </c>
      <c r="I38" s="26">
        <v>0</v>
      </c>
      <c r="J38" s="27">
        <v>0</v>
      </c>
      <c r="K38" s="28">
        <v>0</v>
      </c>
      <c r="L38" s="25">
        <v>8</v>
      </c>
      <c r="M38" s="26">
        <v>0</v>
      </c>
      <c r="N38" s="27">
        <v>3</v>
      </c>
      <c r="O38" s="28">
        <v>1</v>
      </c>
      <c r="P38" s="25">
        <v>0</v>
      </c>
      <c r="Q38" s="26">
        <v>0</v>
      </c>
      <c r="R38" s="27">
        <v>1</v>
      </c>
      <c r="S38" s="19">
        <v>0</v>
      </c>
      <c r="T38" s="29">
        <v>10</v>
      </c>
      <c r="U38" s="28">
        <v>0</v>
      </c>
      <c r="V38" s="29">
        <v>1</v>
      </c>
      <c r="W38" s="26">
        <v>0</v>
      </c>
      <c r="X38" s="27">
        <v>1</v>
      </c>
      <c r="Y38" s="28">
        <v>0</v>
      </c>
      <c r="Z38" s="29">
        <v>4</v>
      </c>
    </row>
    <row r="39" spans="1:26" s="5" customFormat="1" ht="16.5" customHeight="1">
      <c r="A39" s="8"/>
      <c r="B39" s="9" t="s">
        <v>5</v>
      </c>
      <c r="C39" s="54">
        <f t="shared" si="3"/>
        <v>0</v>
      </c>
      <c r="D39" s="55">
        <f t="shared" si="3"/>
        <v>35</v>
      </c>
      <c r="E39" s="43">
        <v>0</v>
      </c>
      <c r="F39" s="27">
        <v>6</v>
      </c>
      <c r="G39" s="28">
        <v>0</v>
      </c>
      <c r="H39" s="25">
        <v>0</v>
      </c>
      <c r="I39" s="26">
        <v>0</v>
      </c>
      <c r="J39" s="27">
        <v>0</v>
      </c>
      <c r="K39" s="28">
        <v>0</v>
      </c>
      <c r="L39" s="25">
        <v>4</v>
      </c>
      <c r="M39" s="26">
        <v>0</v>
      </c>
      <c r="N39" s="27">
        <v>6</v>
      </c>
      <c r="O39" s="28">
        <v>0</v>
      </c>
      <c r="P39" s="25">
        <v>0</v>
      </c>
      <c r="Q39" s="26">
        <v>0</v>
      </c>
      <c r="R39" s="27">
        <v>1</v>
      </c>
      <c r="S39" s="19">
        <v>0</v>
      </c>
      <c r="T39" s="29">
        <v>3</v>
      </c>
      <c r="U39" s="28">
        <v>0</v>
      </c>
      <c r="V39" s="29">
        <v>3</v>
      </c>
      <c r="W39" s="26">
        <v>0</v>
      </c>
      <c r="X39" s="27">
        <v>2</v>
      </c>
      <c r="Y39" s="28">
        <v>0</v>
      </c>
      <c r="Z39" s="29">
        <v>10</v>
      </c>
    </row>
    <row r="40" spans="1:26" s="5" customFormat="1" ht="16.5" customHeight="1">
      <c r="A40" s="8"/>
      <c r="B40" s="9" t="s">
        <v>6</v>
      </c>
      <c r="C40" s="54">
        <f t="shared" si="3"/>
        <v>0</v>
      </c>
      <c r="D40" s="55">
        <f t="shared" si="3"/>
        <v>36</v>
      </c>
      <c r="E40" s="43">
        <v>0</v>
      </c>
      <c r="F40" s="27">
        <v>3</v>
      </c>
      <c r="G40" s="28">
        <v>0</v>
      </c>
      <c r="H40" s="25">
        <v>0</v>
      </c>
      <c r="I40" s="26">
        <v>0</v>
      </c>
      <c r="J40" s="27">
        <v>0</v>
      </c>
      <c r="K40" s="28">
        <v>0</v>
      </c>
      <c r="L40" s="25">
        <v>6</v>
      </c>
      <c r="M40" s="26">
        <v>0</v>
      </c>
      <c r="N40" s="27">
        <v>10</v>
      </c>
      <c r="O40" s="28">
        <v>0</v>
      </c>
      <c r="P40" s="25">
        <v>0</v>
      </c>
      <c r="Q40" s="26">
        <v>0</v>
      </c>
      <c r="R40" s="27">
        <v>3</v>
      </c>
      <c r="S40" s="19">
        <v>0</v>
      </c>
      <c r="T40" s="29">
        <v>3</v>
      </c>
      <c r="U40" s="28">
        <v>0</v>
      </c>
      <c r="V40" s="29">
        <v>0</v>
      </c>
      <c r="W40" s="26">
        <v>0</v>
      </c>
      <c r="X40" s="27">
        <v>3</v>
      </c>
      <c r="Y40" s="28">
        <v>0</v>
      </c>
      <c r="Z40" s="29">
        <v>8</v>
      </c>
    </row>
    <row r="41" spans="1:26" s="61" customFormat="1" ht="16.5" customHeight="1">
      <c r="A41" s="52"/>
      <c r="B41" s="53" t="s">
        <v>7</v>
      </c>
      <c r="C41" s="54">
        <f t="shared" si="3"/>
        <v>0</v>
      </c>
      <c r="D41" s="55">
        <f t="shared" si="3"/>
        <v>42</v>
      </c>
      <c r="E41" s="43">
        <v>0</v>
      </c>
      <c r="F41" s="57">
        <v>8</v>
      </c>
      <c r="G41" s="28">
        <v>0</v>
      </c>
      <c r="H41" s="25">
        <v>0</v>
      </c>
      <c r="I41" s="26">
        <v>0</v>
      </c>
      <c r="J41" s="27">
        <v>0</v>
      </c>
      <c r="K41" s="28">
        <v>0</v>
      </c>
      <c r="L41" s="55">
        <v>3</v>
      </c>
      <c r="M41" s="26">
        <v>0</v>
      </c>
      <c r="N41" s="57">
        <v>2</v>
      </c>
      <c r="O41" s="28">
        <v>0</v>
      </c>
      <c r="P41" s="55">
        <v>0</v>
      </c>
      <c r="Q41" s="26">
        <v>0</v>
      </c>
      <c r="R41" s="27">
        <v>4</v>
      </c>
      <c r="S41" s="19">
        <v>0</v>
      </c>
      <c r="T41" s="60">
        <v>4</v>
      </c>
      <c r="U41" s="58">
        <v>0</v>
      </c>
      <c r="V41" s="60">
        <v>1</v>
      </c>
      <c r="W41" s="26">
        <v>0</v>
      </c>
      <c r="X41" s="27">
        <v>2</v>
      </c>
      <c r="Y41" s="28">
        <v>0</v>
      </c>
      <c r="Z41" s="60">
        <v>18</v>
      </c>
    </row>
    <row r="42" spans="1:26" s="61" customFormat="1" ht="16.5" customHeight="1">
      <c r="A42" s="52"/>
      <c r="B42" s="53" t="s">
        <v>8</v>
      </c>
      <c r="C42" s="54">
        <f t="shared" si="3"/>
        <v>0</v>
      </c>
      <c r="D42" s="55">
        <f t="shared" si="3"/>
        <v>29</v>
      </c>
      <c r="E42" s="56">
        <v>0</v>
      </c>
      <c r="F42" s="57">
        <v>6</v>
      </c>
      <c r="G42" s="58">
        <v>0</v>
      </c>
      <c r="H42" s="55">
        <v>0</v>
      </c>
      <c r="I42" s="59">
        <v>0</v>
      </c>
      <c r="J42" s="57">
        <v>0</v>
      </c>
      <c r="K42" s="58">
        <v>0</v>
      </c>
      <c r="L42" s="55">
        <v>7</v>
      </c>
      <c r="M42" s="59">
        <v>0</v>
      </c>
      <c r="N42" s="57">
        <v>2</v>
      </c>
      <c r="O42" s="58">
        <v>0</v>
      </c>
      <c r="P42" s="55">
        <v>1</v>
      </c>
      <c r="Q42" s="59">
        <v>0</v>
      </c>
      <c r="R42" s="57">
        <v>0</v>
      </c>
      <c r="S42" s="54">
        <v>0</v>
      </c>
      <c r="T42" s="60">
        <v>2</v>
      </c>
      <c r="U42" s="58">
        <v>0</v>
      </c>
      <c r="V42" s="60">
        <v>2</v>
      </c>
      <c r="W42" s="59">
        <v>0</v>
      </c>
      <c r="X42" s="57">
        <v>2</v>
      </c>
      <c r="Y42" s="58">
        <v>0</v>
      </c>
      <c r="Z42" s="60">
        <v>7</v>
      </c>
    </row>
    <row r="43" spans="1:26" s="5" customFormat="1" ht="16.5" customHeight="1">
      <c r="A43" s="8"/>
      <c r="B43" s="9" t="s">
        <v>9</v>
      </c>
      <c r="C43" s="19">
        <f t="shared" si="3"/>
        <v>0</v>
      </c>
      <c r="D43" s="25">
        <f t="shared" si="3"/>
        <v>46</v>
      </c>
      <c r="E43" s="43">
        <v>0</v>
      </c>
      <c r="F43" s="27">
        <v>8</v>
      </c>
      <c r="G43" s="28">
        <v>0</v>
      </c>
      <c r="H43" s="25">
        <v>0</v>
      </c>
      <c r="I43" s="26">
        <v>0</v>
      </c>
      <c r="J43" s="27">
        <v>0</v>
      </c>
      <c r="K43" s="28">
        <v>0</v>
      </c>
      <c r="L43" s="25">
        <v>3</v>
      </c>
      <c r="M43" s="26">
        <v>0</v>
      </c>
      <c r="N43" s="27">
        <v>3</v>
      </c>
      <c r="O43" s="28">
        <v>0</v>
      </c>
      <c r="P43" s="25">
        <v>0</v>
      </c>
      <c r="Q43" s="26">
        <v>0</v>
      </c>
      <c r="R43" s="27">
        <v>3</v>
      </c>
      <c r="S43" s="19">
        <v>0</v>
      </c>
      <c r="T43" s="29">
        <v>3</v>
      </c>
      <c r="U43" s="28">
        <v>0</v>
      </c>
      <c r="V43" s="29">
        <v>3</v>
      </c>
      <c r="W43" s="26">
        <v>0</v>
      </c>
      <c r="X43" s="27">
        <v>3</v>
      </c>
      <c r="Y43" s="28">
        <v>0</v>
      </c>
      <c r="Z43" s="29">
        <v>20</v>
      </c>
    </row>
    <row r="44" spans="1:26" s="5" customFormat="1" ht="16.5" customHeight="1">
      <c r="A44" s="8"/>
      <c r="B44" s="9" t="s">
        <v>10</v>
      </c>
      <c r="C44" s="19">
        <f t="shared" si="3"/>
        <v>0</v>
      </c>
      <c r="D44" s="25">
        <f t="shared" si="3"/>
        <v>30</v>
      </c>
      <c r="E44" s="43">
        <v>0</v>
      </c>
      <c r="F44" s="27">
        <v>3</v>
      </c>
      <c r="G44" s="28">
        <v>0</v>
      </c>
      <c r="H44" s="25">
        <v>0</v>
      </c>
      <c r="I44" s="26">
        <v>0</v>
      </c>
      <c r="J44" s="27">
        <v>0</v>
      </c>
      <c r="K44" s="28">
        <v>0</v>
      </c>
      <c r="L44" s="25">
        <v>6</v>
      </c>
      <c r="M44" s="26">
        <v>0</v>
      </c>
      <c r="N44" s="27">
        <v>3</v>
      </c>
      <c r="O44" s="28">
        <v>0</v>
      </c>
      <c r="P44" s="25">
        <v>0</v>
      </c>
      <c r="Q44" s="26">
        <v>0</v>
      </c>
      <c r="R44" s="27">
        <v>3</v>
      </c>
      <c r="S44" s="19">
        <v>0</v>
      </c>
      <c r="T44" s="29">
        <v>5</v>
      </c>
      <c r="U44" s="28">
        <v>0</v>
      </c>
      <c r="V44" s="29">
        <v>0</v>
      </c>
      <c r="W44" s="26">
        <v>0</v>
      </c>
      <c r="X44" s="27">
        <v>0</v>
      </c>
      <c r="Y44" s="28">
        <v>0</v>
      </c>
      <c r="Z44" s="29">
        <v>10</v>
      </c>
    </row>
    <row r="45" spans="1:26" s="5" customFormat="1" ht="16.5" customHeight="1">
      <c r="A45" s="8"/>
      <c r="B45" s="9" t="s">
        <v>11</v>
      </c>
      <c r="C45" s="19">
        <f t="shared" si="3"/>
        <v>1</v>
      </c>
      <c r="D45" s="25">
        <f t="shared" si="3"/>
        <v>28</v>
      </c>
      <c r="E45" s="43">
        <v>0</v>
      </c>
      <c r="F45" s="27">
        <v>4</v>
      </c>
      <c r="G45" s="28">
        <v>0</v>
      </c>
      <c r="H45" s="25">
        <v>0</v>
      </c>
      <c r="I45" s="26">
        <v>1</v>
      </c>
      <c r="J45" s="27">
        <v>0</v>
      </c>
      <c r="K45" s="28">
        <v>0</v>
      </c>
      <c r="L45" s="25">
        <v>3</v>
      </c>
      <c r="M45" s="26">
        <v>0</v>
      </c>
      <c r="N45" s="27">
        <v>4</v>
      </c>
      <c r="O45" s="28">
        <v>0</v>
      </c>
      <c r="P45" s="25">
        <v>1</v>
      </c>
      <c r="Q45" s="26">
        <v>0</v>
      </c>
      <c r="R45" s="27">
        <v>2</v>
      </c>
      <c r="S45" s="19">
        <v>0</v>
      </c>
      <c r="T45" s="29">
        <v>4</v>
      </c>
      <c r="U45" s="28">
        <v>0</v>
      </c>
      <c r="V45" s="29">
        <v>0</v>
      </c>
      <c r="W45" s="26">
        <v>0</v>
      </c>
      <c r="X45" s="27">
        <v>1</v>
      </c>
      <c r="Y45" s="28">
        <v>0</v>
      </c>
      <c r="Z45" s="29">
        <v>9</v>
      </c>
    </row>
    <row r="46" spans="1:26" s="5" customFormat="1" ht="16.5" customHeight="1">
      <c r="A46" s="8"/>
      <c r="B46" s="9" t="s">
        <v>12</v>
      </c>
      <c r="C46" s="19">
        <f t="shared" si="3"/>
        <v>0</v>
      </c>
      <c r="D46" s="25">
        <f t="shared" si="3"/>
        <v>30</v>
      </c>
      <c r="E46" s="43">
        <v>0</v>
      </c>
      <c r="F46" s="27">
        <v>5</v>
      </c>
      <c r="G46" s="28">
        <v>0</v>
      </c>
      <c r="H46" s="25">
        <v>0</v>
      </c>
      <c r="I46" s="26">
        <v>0</v>
      </c>
      <c r="J46" s="27">
        <v>0</v>
      </c>
      <c r="K46" s="28">
        <v>0</v>
      </c>
      <c r="L46" s="25">
        <v>5</v>
      </c>
      <c r="M46" s="26">
        <v>0</v>
      </c>
      <c r="N46" s="27">
        <v>6</v>
      </c>
      <c r="O46" s="28">
        <v>0</v>
      </c>
      <c r="P46" s="25">
        <v>1</v>
      </c>
      <c r="Q46" s="26">
        <v>0</v>
      </c>
      <c r="R46" s="27">
        <v>1</v>
      </c>
      <c r="S46" s="19">
        <v>0</v>
      </c>
      <c r="T46" s="29">
        <v>5</v>
      </c>
      <c r="U46" s="28">
        <v>0</v>
      </c>
      <c r="V46" s="29">
        <v>0</v>
      </c>
      <c r="W46" s="26">
        <v>0</v>
      </c>
      <c r="X46" s="27">
        <v>3</v>
      </c>
      <c r="Y46" s="28">
        <v>0</v>
      </c>
      <c r="Z46" s="29">
        <v>4</v>
      </c>
    </row>
    <row r="47" spans="1:26" s="5" customFormat="1" ht="16.5" customHeight="1">
      <c r="A47" s="10"/>
      <c r="B47" s="11" t="s">
        <v>13</v>
      </c>
      <c r="C47" s="21">
        <f t="shared" si="3"/>
        <v>0</v>
      </c>
      <c r="D47" s="35">
        <f t="shared" si="3"/>
        <v>20</v>
      </c>
      <c r="E47" s="46">
        <v>0</v>
      </c>
      <c r="F47" s="37">
        <v>3</v>
      </c>
      <c r="G47" s="38">
        <v>0</v>
      </c>
      <c r="H47" s="35">
        <v>0</v>
      </c>
      <c r="I47" s="36">
        <v>0</v>
      </c>
      <c r="J47" s="37">
        <v>0</v>
      </c>
      <c r="K47" s="38">
        <v>0</v>
      </c>
      <c r="L47" s="35">
        <v>6</v>
      </c>
      <c r="M47" s="36">
        <v>0</v>
      </c>
      <c r="N47" s="37">
        <v>3</v>
      </c>
      <c r="O47" s="38">
        <v>0</v>
      </c>
      <c r="P47" s="35">
        <v>0</v>
      </c>
      <c r="Q47" s="36">
        <v>0</v>
      </c>
      <c r="R47" s="37">
        <v>0</v>
      </c>
      <c r="S47" s="21">
        <v>0</v>
      </c>
      <c r="T47" s="39">
        <v>2</v>
      </c>
      <c r="U47" s="38">
        <v>0</v>
      </c>
      <c r="V47" s="39">
        <v>0</v>
      </c>
      <c r="W47" s="36">
        <v>0</v>
      </c>
      <c r="X47" s="37">
        <v>0</v>
      </c>
      <c r="Y47" s="38">
        <v>0</v>
      </c>
      <c r="Z47" s="39">
        <v>6</v>
      </c>
    </row>
    <row r="48" spans="1:26" s="5" customFormat="1" ht="16.5" customHeight="1" thickBot="1">
      <c r="A48" s="64" t="s">
        <v>37</v>
      </c>
      <c r="B48" s="6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s="5" customFormat="1" ht="16.5" customHeight="1">
      <c r="A49" s="95" t="str">
        <f>"2023（令和5）年"&amp;COUNTA(E36:E47)&amp;"月迄"</f>
        <v>2023（令和5）年12月迄</v>
      </c>
      <c r="B49" s="96"/>
      <c r="C49" s="76">
        <f>SUM(C36:C47)</f>
        <v>3</v>
      </c>
      <c r="D49" s="77">
        <f>SUM(D36:D47)</f>
        <v>446</v>
      </c>
      <c r="E49" s="77">
        <f>SUM(E36:E47)</f>
        <v>0</v>
      </c>
      <c r="F49" s="77">
        <f aca="true" t="shared" si="4" ref="F49:Z49">SUM(F36:F47)</f>
        <v>76</v>
      </c>
      <c r="G49" s="77">
        <f>SUM(G36:G47)</f>
        <v>0</v>
      </c>
      <c r="H49" s="77">
        <f t="shared" si="4"/>
        <v>0</v>
      </c>
      <c r="I49" s="77">
        <f t="shared" si="4"/>
        <v>1</v>
      </c>
      <c r="J49" s="78">
        <f>SUM(J36:J47)</f>
        <v>1</v>
      </c>
      <c r="K49" s="77">
        <f t="shared" si="4"/>
        <v>0</v>
      </c>
      <c r="L49" s="77">
        <f t="shared" si="4"/>
        <v>57</v>
      </c>
      <c r="M49" s="77">
        <f t="shared" si="4"/>
        <v>0</v>
      </c>
      <c r="N49" s="77">
        <f t="shared" si="4"/>
        <v>57</v>
      </c>
      <c r="O49" s="77">
        <f t="shared" si="4"/>
        <v>1</v>
      </c>
      <c r="P49" s="77">
        <f t="shared" si="4"/>
        <v>6</v>
      </c>
      <c r="Q49" s="77">
        <f t="shared" si="4"/>
        <v>0</v>
      </c>
      <c r="R49" s="77">
        <f t="shared" si="4"/>
        <v>26</v>
      </c>
      <c r="S49" s="76">
        <f t="shared" si="4"/>
        <v>1</v>
      </c>
      <c r="T49" s="77">
        <f t="shared" si="4"/>
        <v>52</v>
      </c>
      <c r="U49" s="77">
        <f t="shared" si="4"/>
        <v>0</v>
      </c>
      <c r="V49" s="77">
        <f t="shared" si="4"/>
        <v>13</v>
      </c>
      <c r="W49" s="77">
        <f t="shared" si="4"/>
        <v>0</v>
      </c>
      <c r="X49" s="77">
        <f t="shared" si="4"/>
        <v>19</v>
      </c>
      <c r="Y49" s="77">
        <f t="shared" si="4"/>
        <v>0</v>
      </c>
      <c r="Z49" s="79">
        <f t="shared" si="4"/>
        <v>139</v>
      </c>
    </row>
    <row r="50" spans="1:26" s="5" customFormat="1" ht="16.5" customHeight="1">
      <c r="A50" s="97" t="str">
        <f>"前年"&amp;COUNTA(E36:E47)&amp;"月迄"</f>
        <v>前年12月迄</v>
      </c>
      <c r="B50" s="98"/>
      <c r="C50" s="80">
        <f ca="1">SUM(C24:(INDIRECT("c"&amp;COUNT($E36:$E47)+23)))</f>
        <v>6</v>
      </c>
      <c r="D50" s="80">
        <f ca="1">SUM(D24:(INDIRECT("d"&amp;COUNT($E36:$E47)+23)))</f>
        <v>714</v>
      </c>
      <c r="E50" s="80">
        <f ca="1">SUM(E24:(INDIRECT("e"&amp;COUNT($E36:$E47)+23)))</f>
        <v>1</v>
      </c>
      <c r="F50" s="80">
        <f ca="1">SUM(F24:(INDIRECT("f"&amp;COUNT($E36:$E47)+23)))</f>
        <v>81</v>
      </c>
      <c r="G50" s="80">
        <f ca="1">SUM(G24:(INDIRECT("g"&amp;COUNT($E36:$E47)+23)))</f>
        <v>0</v>
      </c>
      <c r="H50" s="80">
        <f ca="1">SUM(H24:(INDIRECT("h"&amp;COUNT($E36:$E47)+23)))</f>
        <v>2</v>
      </c>
      <c r="I50" s="80">
        <f ca="1">SUM(I24:(INDIRECT("i"&amp;COUNT($E36:$E47)+23)))</f>
        <v>0</v>
      </c>
      <c r="J50" s="80">
        <f ca="1">SUM(J24:(INDIRECT("j"&amp;COUNT($E36:$E47)+23)))</f>
        <v>2</v>
      </c>
      <c r="K50" s="80">
        <f ca="1">SUM(K24:(INDIRECT("k"&amp;COUNT($E36:$E47)+23)))</f>
        <v>1</v>
      </c>
      <c r="L50" s="80">
        <f ca="1">SUM(L24:(INDIRECT("l"&amp;COUNT($E36:$E47)+23)))</f>
        <v>74</v>
      </c>
      <c r="M50" s="80">
        <f ca="1">SUM(M24:(INDIRECT("m"&amp;COUNT($E36:$E47)+23)))</f>
        <v>2</v>
      </c>
      <c r="N50" s="80">
        <f ca="1">SUM(N24:(INDIRECT("n"&amp;COUNT($E36:$E47)+23)))</f>
        <v>92</v>
      </c>
      <c r="O50" s="80">
        <f ca="1">SUM(O24:(INDIRECT("o"&amp;COUNT($E36:$E47)+23)))</f>
        <v>0</v>
      </c>
      <c r="P50" s="80">
        <f ca="1">SUM(P24:(INDIRECT("p"&amp;COUNT($E36:$E47)+23)))</f>
        <v>11</v>
      </c>
      <c r="Q50" s="80">
        <f ca="1">SUM(Q24:(INDIRECT("q"&amp;COUNT($E36:$E47)+23)))</f>
        <v>0</v>
      </c>
      <c r="R50" s="80">
        <f ca="1">SUM(R24:(INDIRECT("r"&amp;COUNT($E36:$E47)+23)))</f>
        <v>37</v>
      </c>
      <c r="S50" s="80">
        <f ca="1">SUM(S24:(INDIRECT("s"&amp;COUNT($E36:$E47)+23)))</f>
        <v>0</v>
      </c>
      <c r="T50" s="80">
        <f ca="1">SUM(T24:(INDIRECT("t"&amp;COUNT($E36:$E47)+23)))</f>
        <v>62</v>
      </c>
      <c r="U50" s="80">
        <f ca="1">SUM(U24:(INDIRECT("u"&amp;COUNT($E36:$E47)+23)))</f>
        <v>0</v>
      </c>
      <c r="V50" s="80">
        <f ca="1">SUM(V24:(INDIRECT("v"&amp;COUNT($E36:$E47)+23)))</f>
        <v>18</v>
      </c>
      <c r="W50" s="80">
        <f ca="1">SUM(W24:(INDIRECT("w"&amp;COUNT($E36:$E47)+23)))</f>
        <v>0</v>
      </c>
      <c r="X50" s="80">
        <f ca="1">SUM(X24:(INDIRECT("x"&amp;COUNT($E36:$E47)+23)))</f>
        <v>17</v>
      </c>
      <c r="Y50" s="80">
        <f ca="1">SUM(Y24:(INDIRECT("y"&amp;COUNT($E36:$E47)+23)))</f>
        <v>2</v>
      </c>
      <c r="Z50" s="81">
        <f ca="1">SUM(Z24:(INDIRECT("z"&amp;COUNT($E36:$E47)+23)))</f>
        <v>318</v>
      </c>
    </row>
    <row r="51" spans="1:26" s="5" customFormat="1" ht="16.5" customHeight="1" thickBot="1">
      <c r="A51" s="99" t="s">
        <v>36</v>
      </c>
      <c r="B51" s="100"/>
      <c r="C51" s="82">
        <f>C49-C50</f>
        <v>-3</v>
      </c>
      <c r="D51" s="62">
        <f aca="true" t="shared" si="5" ref="D51:Z51">D49-D50</f>
        <v>-268</v>
      </c>
      <c r="E51" s="62">
        <f t="shared" si="5"/>
        <v>-1</v>
      </c>
      <c r="F51" s="62">
        <f t="shared" si="5"/>
        <v>-5</v>
      </c>
      <c r="G51" s="62">
        <f t="shared" si="5"/>
        <v>0</v>
      </c>
      <c r="H51" s="62">
        <f t="shared" si="5"/>
        <v>-2</v>
      </c>
      <c r="I51" s="62">
        <f t="shared" si="5"/>
        <v>1</v>
      </c>
      <c r="J51" s="66">
        <f t="shared" si="5"/>
        <v>-1</v>
      </c>
      <c r="K51" s="62">
        <f t="shared" si="5"/>
        <v>-1</v>
      </c>
      <c r="L51" s="62">
        <f t="shared" si="5"/>
        <v>-17</v>
      </c>
      <c r="M51" s="62">
        <f t="shared" si="5"/>
        <v>-2</v>
      </c>
      <c r="N51" s="62">
        <f t="shared" si="5"/>
        <v>-35</v>
      </c>
      <c r="O51" s="62">
        <f t="shared" si="5"/>
        <v>1</v>
      </c>
      <c r="P51" s="62">
        <f t="shared" si="5"/>
        <v>-5</v>
      </c>
      <c r="Q51" s="62">
        <f t="shared" si="5"/>
        <v>0</v>
      </c>
      <c r="R51" s="62">
        <f t="shared" si="5"/>
        <v>-11</v>
      </c>
      <c r="S51" s="82">
        <f t="shared" si="5"/>
        <v>1</v>
      </c>
      <c r="T51" s="62">
        <f t="shared" si="5"/>
        <v>-10</v>
      </c>
      <c r="U51" s="62">
        <f t="shared" si="5"/>
        <v>0</v>
      </c>
      <c r="V51" s="62">
        <f t="shared" si="5"/>
        <v>-5</v>
      </c>
      <c r="W51" s="62">
        <f t="shared" si="5"/>
        <v>0</v>
      </c>
      <c r="X51" s="62">
        <f t="shared" si="5"/>
        <v>2</v>
      </c>
      <c r="Y51" s="62">
        <f t="shared" si="5"/>
        <v>-2</v>
      </c>
      <c r="Z51" s="63">
        <f t="shared" si="5"/>
        <v>-179</v>
      </c>
    </row>
    <row r="52" s="5" customFormat="1" ht="16.5" customHeight="1">
      <c r="A52" s="5" t="s">
        <v>28</v>
      </c>
    </row>
    <row r="53" s="2" customFormat="1" ht="16.5" customHeight="1">
      <c r="A53" s="5" t="s">
        <v>38</v>
      </c>
    </row>
    <row r="54" s="5" customFormat="1" ht="16.5" customHeight="1">
      <c r="A54" s="5" t="s">
        <v>30</v>
      </c>
    </row>
    <row r="55" s="5" customFormat="1" ht="16.5" customHeight="1">
      <c r="B55" s="5" t="s">
        <v>31</v>
      </c>
    </row>
    <row r="56" s="5" customFormat="1" ht="16.5" customHeight="1">
      <c r="B56" s="5" t="s">
        <v>32</v>
      </c>
    </row>
    <row r="57" s="5" customFormat="1" ht="16.5" customHeight="1">
      <c r="B57" s="5" t="s">
        <v>33</v>
      </c>
    </row>
    <row r="58" s="5" customFormat="1" ht="16.5" customHeight="1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</sheetData>
  <sheetProtection/>
  <mergeCells count="16">
    <mergeCell ref="Y4:Z4"/>
    <mergeCell ref="A49:B49"/>
    <mergeCell ref="A50:B50"/>
    <mergeCell ref="A51:B51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conditionalFormatting sqref="C49:Z51">
    <cfRule type="cellIs" priority="1" dxfId="18" operator="lessThan" stopIfTrue="1">
      <formula>0</formula>
    </cfRule>
    <cfRule type="cellIs" priority="2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61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>
      <c r="A13" s="8" t="s">
        <v>47</v>
      </c>
      <c r="B13" s="14" t="s">
        <v>1</v>
      </c>
      <c r="C13" s="19">
        <v>6</v>
      </c>
      <c r="D13" s="25">
        <v>470</v>
      </c>
      <c r="E13" s="43">
        <v>0</v>
      </c>
      <c r="F13" s="29">
        <v>117</v>
      </c>
      <c r="G13" s="19">
        <v>0</v>
      </c>
      <c r="H13" s="25">
        <v>0</v>
      </c>
      <c r="I13" s="19">
        <v>0</v>
      </c>
      <c r="J13" s="25">
        <v>1</v>
      </c>
      <c r="K13" s="19">
        <v>2</v>
      </c>
      <c r="L13" s="25">
        <v>65</v>
      </c>
      <c r="M13" s="19">
        <v>1</v>
      </c>
      <c r="N13" s="25">
        <v>52</v>
      </c>
      <c r="O13" s="19">
        <v>1</v>
      </c>
      <c r="P13" s="25">
        <v>12</v>
      </c>
      <c r="Q13" s="19">
        <v>1</v>
      </c>
      <c r="R13" s="25">
        <v>73</v>
      </c>
      <c r="S13" s="19">
        <v>1</v>
      </c>
      <c r="T13" s="25">
        <v>33</v>
      </c>
      <c r="U13" s="19">
        <v>0</v>
      </c>
      <c r="V13" s="29">
        <v>11</v>
      </c>
      <c r="W13" s="19">
        <v>0</v>
      </c>
      <c r="X13" s="25">
        <v>15</v>
      </c>
      <c r="Y13" s="19">
        <v>0</v>
      </c>
      <c r="Z13" s="29">
        <v>91</v>
      </c>
    </row>
    <row r="14" spans="1:26" s="14" customFormat="1" ht="18.75" customHeight="1" thickBot="1">
      <c r="A14" s="8" t="s">
        <v>48</v>
      </c>
      <c r="B14" s="14" t="s">
        <v>1</v>
      </c>
      <c r="C14" s="19">
        <v>7</v>
      </c>
      <c r="D14" s="25">
        <v>502</v>
      </c>
      <c r="E14" s="43">
        <v>2</v>
      </c>
      <c r="F14" s="29">
        <v>119</v>
      </c>
      <c r="G14" s="19">
        <v>0</v>
      </c>
      <c r="H14" s="25">
        <v>0</v>
      </c>
      <c r="I14" s="19">
        <v>0</v>
      </c>
      <c r="J14" s="25">
        <v>2</v>
      </c>
      <c r="K14" s="19">
        <v>1</v>
      </c>
      <c r="L14" s="25">
        <v>87</v>
      </c>
      <c r="M14" s="19">
        <v>1</v>
      </c>
      <c r="N14" s="25">
        <v>54</v>
      </c>
      <c r="O14" s="19">
        <v>0</v>
      </c>
      <c r="P14" s="25">
        <v>8</v>
      </c>
      <c r="Q14" s="19">
        <v>2</v>
      </c>
      <c r="R14" s="25">
        <v>70</v>
      </c>
      <c r="S14" s="19">
        <v>0</v>
      </c>
      <c r="T14" s="25">
        <v>43</v>
      </c>
      <c r="U14" s="19">
        <v>0</v>
      </c>
      <c r="V14" s="29">
        <v>10</v>
      </c>
      <c r="W14" s="19">
        <v>0</v>
      </c>
      <c r="X14" s="25">
        <v>17</v>
      </c>
      <c r="Y14" s="19">
        <v>1</v>
      </c>
      <c r="Z14" s="29">
        <v>92</v>
      </c>
    </row>
    <row r="15" spans="1:26" s="5" customFormat="1" ht="16.5" customHeight="1" thickTop="1">
      <c r="A15" s="15" t="s">
        <v>48</v>
      </c>
      <c r="B15" s="16" t="s">
        <v>2</v>
      </c>
      <c r="C15" s="20">
        <f aca="true" t="shared" si="0" ref="C15:D26">SUM(E15,G15,I15,K15,M15,O15,Q15,S15,U15,W15,Y15)</f>
        <v>1</v>
      </c>
      <c r="D15" s="30">
        <f t="shared" si="0"/>
        <v>36</v>
      </c>
      <c r="E15" s="45">
        <v>0</v>
      </c>
      <c r="F15" s="32">
        <v>11</v>
      </c>
      <c r="G15" s="33">
        <v>0</v>
      </c>
      <c r="H15" s="30">
        <v>0</v>
      </c>
      <c r="I15" s="31">
        <v>0</v>
      </c>
      <c r="J15" s="32">
        <v>0</v>
      </c>
      <c r="K15" s="33">
        <v>0</v>
      </c>
      <c r="L15" s="30">
        <v>2</v>
      </c>
      <c r="M15" s="31">
        <v>0</v>
      </c>
      <c r="N15" s="32">
        <v>3</v>
      </c>
      <c r="O15" s="33">
        <v>0</v>
      </c>
      <c r="P15" s="30">
        <v>2</v>
      </c>
      <c r="Q15" s="31">
        <v>1</v>
      </c>
      <c r="R15" s="32">
        <v>7</v>
      </c>
      <c r="S15" s="20">
        <v>0</v>
      </c>
      <c r="T15" s="34">
        <v>4</v>
      </c>
      <c r="U15" s="33">
        <v>0</v>
      </c>
      <c r="V15" s="34">
        <v>0</v>
      </c>
      <c r="W15" s="31">
        <v>0</v>
      </c>
      <c r="X15" s="32">
        <v>0</v>
      </c>
      <c r="Y15" s="33">
        <v>0</v>
      </c>
      <c r="Z15" s="34">
        <v>7</v>
      </c>
    </row>
    <row r="16" spans="1:26" s="5" customFormat="1" ht="16.5" customHeight="1">
      <c r="A16" s="8"/>
      <c r="B16" s="9" t="s">
        <v>3</v>
      </c>
      <c r="C16" s="19">
        <f t="shared" si="0"/>
        <v>0</v>
      </c>
      <c r="D16" s="25">
        <f t="shared" si="0"/>
        <v>45</v>
      </c>
      <c r="E16" s="43">
        <v>0</v>
      </c>
      <c r="F16" s="27">
        <v>8</v>
      </c>
      <c r="G16" s="28">
        <v>0</v>
      </c>
      <c r="H16" s="25">
        <v>0</v>
      </c>
      <c r="I16" s="26">
        <v>0</v>
      </c>
      <c r="J16" s="27">
        <v>1</v>
      </c>
      <c r="K16" s="28">
        <v>0</v>
      </c>
      <c r="L16" s="25">
        <v>4</v>
      </c>
      <c r="M16" s="26">
        <v>0</v>
      </c>
      <c r="N16" s="27">
        <v>11</v>
      </c>
      <c r="O16" s="28">
        <v>0</v>
      </c>
      <c r="P16" s="25">
        <v>0</v>
      </c>
      <c r="Q16" s="26">
        <v>0</v>
      </c>
      <c r="R16" s="27">
        <v>3</v>
      </c>
      <c r="S16" s="19">
        <v>0</v>
      </c>
      <c r="T16" s="29">
        <v>3</v>
      </c>
      <c r="U16" s="28">
        <v>0</v>
      </c>
      <c r="V16" s="29">
        <v>0</v>
      </c>
      <c r="W16" s="26">
        <v>0</v>
      </c>
      <c r="X16" s="27">
        <v>2</v>
      </c>
      <c r="Y16" s="28">
        <v>0</v>
      </c>
      <c r="Z16" s="29">
        <v>13</v>
      </c>
    </row>
    <row r="17" spans="1:26" s="5" customFormat="1" ht="16.5" customHeight="1">
      <c r="A17" s="8"/>
      <c r="B17" s="9" t="s">
        <v>4</v>
      </c>
      <c r="C17" s="19">
        <f t="shared" si="0"/>
        <v>1</v>
      </c>
      <c r="D17" s="25">
        <f t="shared" si="0"/>
        <v>39</v>
      </c>
      <c r="E17" s="43">
        <v>0</v>
      </c>
      <c r="F17" s="27">
        <v>15</v>
      </c>
      <c r="G17" s="28">
        <v>0</v>
      </c>
      <c r="H17" s="25">
        <v>0</v>
      </c>
      <c r="I17" s="26">
        <v>0</v>
      </c>
      <c r="J17" s="27">
        <v>1</v>
      </c>
      <c r="K17" s="28">
        <v>0</v>
      </c>
      <c r="L17" s="25">
        <v>3</v>
      </c>
      <c r="M17" s="26">
        <v>0</v>
      </c>
      <c r="N17" s="27">
        <v>2</v>
      </c>
      <c r="O17" s="28">
        <v>0</v>
      </c>
      <c r="P17" s="25">
        <v>1</v>
      </c>
      <c r="Q17" s="26">
        <v>1</v>
      </c>
      <c r="R17" s="27">
        <v>3</v>
      </c>
      <c r="S17" s="19">
        <v>0</v>
      </c>
      <c r="T17" s="29">
        <v>4</v>
      </c>
      <c r="U17" s="28">
        <v>0</v>
      </c>
      <c r="V17" s="29">
        <v>1</v>
      </c>
      <c r="W17" s="26">
        <v>0</v>
      </c>
      <c r="X17" s="27">
        <v>1</v>
      </c>
      <c r="Y17" s="28">
        <v>0</v>
      </c>
      <c r="Z17" s="29">
        <v>8</v>
      </c>
    </row>
    <row r="18" spans="1:26" s="5" customFormat="1" ht="16.5" customHeight="1">
      <c r="A18" s="8"/>
      <c r="B18" s="9" t="s">
        <v>5</v>
      </c>
      <c r="C18" s="19">
        <f t="shared" si="0"/>
        <v>0</v>
      </c>
      <c r="D18" s="25">
        <f t="shared" si="0"/>
        <v>22</v>
      </c>
      <c r="E18" s="43">
        <v>0</v>
      </c>
      <c r="F18" s="27">
        <v>2</v>
      </c>
      <c r="G18" s="28">
        <v>0</v>
      </c>
      <c r="H18" s="25">
        <v>0</v>
      </c>
      <c r="I18" s="26">
        <v>0</v>
      </c>
      <c r="J18" s="27">
        <v>0</v>
      </c>
      <c r="K18" s="28">
        <v>0</v>
      </c>
      <c r="L18" s="25">
        <v>3</v>
      </c>
      <c r="M18" s="26">
        <v>0</v>
      </c>
      <c r="N18" s="27">
        <v>1</v>
      </c>
      <c r="O18" s="28">
        <v>0</v>
      </c>
      <c r="P18" s="25">
        <v>1</v>
      </c>
      <c r="Q18" s="26">
        <v>0</v>
      </c>
      <c r="R18" s="27">
        <v>5</v>
      </c>
      <c r="S18" s="19">
        <v>0</v>
      </c>
      <c r="T18" s="29">
        <v>2</v>
      </c>
      <c r="U18" s="28">
        <v>0</v>
      </c>
      <c r="V18" s="29">
        <v>2</v>
      </c>
      <c r="W18" s="26">
        <v>0</v>
      </c>
      <c r="X18" s="27">
        <v>1</v>
      </c>
      <c r="Y18" s="28">
        <v>0</v>
      </c>
      <c r="Z18" s="29">
        <v>5</v>
      </c>
    </row>
    <row r="19" spans="1:26" s="5" customFormat="1" ht="16.5" customHeight="1">
      <c r="A19" s="8"/>
      <c r="B19" s="9" t="s">
        <v>6</v>
      </c>
      <c r="C19" s="19">
        <f t="shared" si="0"/>
        <v>1</v>
      </c>
      <c r="D19" s="25">
        <f t="shared" si="0"/>
        <v>40</v>
      </c>
      <c r="E19" s="43">
        <v>0</v>
      </c>
      <c r="F19" s="27">
        <v>7</v>
      </c>
      <c r="G19" s="28">
        <v>0</v>
      </c>
      <c r="H19" s="25">
        <v>0</v>
      </c>
      <c r="I19" s="26">
        <v>0</v>
      </c>
      <c r="J19" s="27">
        <v>0</v>
      </c>
      <c r="K19" s="28">
        <v>1</v>
      </c>
      <c r="L19" s="25">
        <v>6</v>
      </c>
      <c r="M19" s="26">
        <v>0</v>
      </c>
      <c r="N19" s="27">
        <v>4</v>
      </c>
      <c r="O19" s="28">
        <v>0</v>
      </c>
      <c r="P19" s="25">
        <v>0</v>
      </c>
      <c r="Q19" s="26">
        <v>0</v>
      </c>
      <c r="R19" s="27">
        <v>10</v>
      </c>
      <c r="S19" s="19">
        <v>0</v>
      </c>
      <c r="T19" s="29">
        <v>5</v>
      </c>
      <c r="U19" s="28">
        <v>0</v>
      </c>
      <c r="V19" s="29">
        <v>1</v>
      </c>
      <c r="W19" s="26">
        <v>0</v>
      </c>
      <c r="X19" s="27">
        <v>3</v>
      </c>
      <c r="Y19" s="28">
        <v>0</v>
      </c>
      <c r="Z19" s="29">
        <v>4</v>
      </c>
    </row>
    <row r="20" spans="1:26" s="61" customFormat="1" ht="16.5" customHeight="1">
      <c r="A20" s="52"/>
      <c r="B20" s="53" t="s">
        <v>7</v>
      </c>
      <c r="C20" s="54">
        <f t="shared" si="0"/>
        <v>0</v>
      </c>
      <c r="D20" s="55">
        <f t="shared" si="0"/>
        <v>39</v>
      </c>
      <c r="E20" s="56">
        <v>0</v>
      </c>
      <c r="F20" s="57">
        <v>7</v>
      </c>
      <c r="G20" s="58">
        <v>0</v>
      </c>
      <c r="H20" s="55">
        <v>0</v>
      </c>
      <c r="I20" s="59">
        <v>0</v>
      </c>
      <c r="J20" s="57">
        <v>0</v>
      </c>
      <c r="K20" s="58">
        <v>0</v>
      </c>
      <c r="L20" s="55">
        <v>10</v>
      </c>
      <c r="M20" s="59">
        <v>0</v>
      </c>
      <c r="N20" s="57">
        <v>2</v>
      </c>
      <c r="O20" s="58">
        <v>0</v>
      </c>
      <c r="P20" s="55">
        <v>0</v>
      </c>
      <c r="Q20" s="59">
        <v>0</v>
      </c>
      <c r="R20" s="57">
        <v>5</v>
      </c>
      <c r="S20" s="54">
        <v>0</v>
      </c>
      <c r="T20" s="60">
        <v>2</v>
      </c>
      <c r="U20" s="58">
        <v>0</v>
      </c>
      <c r="V20" s="60">
        <v>0</v>
      </c>
      <c r="W20" s="59">
        <v>0</v>
      </c>
      <c r="X20" s="57">
        <v>2</v>
      </c>
      <c r="Y20" s="58">
        <v>0</v>
      </c>
      <c r="Z20" s="60">
        <v>11</v>
      </c>
    </row>
    <row r="21" spans="1:26" s="61" customFormat="1" ht="16.5" customHeight="1">
      <c r="A21" s="52"/>
      <c r="B21" s="53" t="s">
        <v>8</v>
      </c>
      <c r="C21" s="54">
        <f t="shared" si="0"/>
        <v>2</v>
      </c>
      <c r="D21" s="55">
        <f t="shared" si="0"/>
        <v>30</v>
      </c>
      <c r="E21" s="56">
        <v>2</v>
      </c>
      <c r="F21" s="57">
        <v>5</v>
      </c>
      <c r="G21" s="58">
        <v>0</v>
      </c>
      <c r="H21" s="55">
        <v>0</v>
      </c>
      <c r="I21" s="59">
        <v>0</v>
      </c>
      <c r="J21" s="57">
        <v>0</v>
      </c>
      <c r="K21" s="58">
        <v>0</v>
      </c>
      <c r="L21" s="55">
        <v>6</v>
      </c>
      <c r="M21" s="59">
        <v>0</v>
      </c>
      <c r="N21" s="57">
        <v>4</v>
      </c>
      <c r="O21" s="58">
        <v>0</v>
      </c>
      <c r="P21" s="55">
        <v>0</v>
      </c>
      <c r="Q21" s="59">
        <v>0</v>
      </c>
      <c r="R21" s="57">
        <v>4</v>
      </c>
      <c r="S21" s="54">
        <v>0</v>
      </c>
      <c r="T21" s="60">
        <v>0</v>
      </c>
      <c r="U21" s="58">
        <v>0</v>
      </c>
      <c r="V21" s="60">
        <v>5</v>
      </c>
      <c r="W21" s="59">
        <v>0</v>
      </c>
      <c r="X21" s="57">
        <v>0</v>
      </c>
      <c r="Y21" s="58">
        <v>0</v>
      </c>
      <c r="Z21" s="60">
        <v>6</v>
      </c>
    </row>
    <row r="22" spans="1:26" s="5" customFormat="1" ht="16.5" customHeight="1">
      <c r="A22" s="8"/>
      <c r="B22" s="9" t="s">
        <v>9</v>
      </c>
      <c r="C22" s="19">
        <f t="shared" si="0"/>
        <v>0</v>
      </c>
      <c r="D22" s="25">
        <f t="shared" si="0"/>
        <v>46</v>
      </c>
      <c r="E22" s="43">
        <v>0</v>
      </c>
      <c r="F22" s="27">
        <v>13</v>
      </c>
      <c r="G22" s="28">
        <v>0</v>
      </c>
      <c r="H22" s="25">
        <v>0</v>
      </c>
      <c r="I22" s="26">
        <v>0</v>
      </c>
      <c r="J22" s="27">
        <v>0</v>
      </c>
      <c r="K22" s="28">
        <v>0</v>
      </c>
      <c r="L22" s="25">
        <v>11</v>
      </c>
      <c r="M22" s="26">
        <v>0</v>
      </c>
      <c r="N22" s="27">
        <v>4</v>
      </c>
      <c r="O22" s="28">
        <v>0</v>
      </c>
      <c r="P22" s="25">
        <v>0</v>
      </c>
      <c r="Q22" s="26">
        <v>0</v>
      </c>
      <c r="R22" s="27">
        <v>4</v>
      </c>
      <c r="S22" s="19">
        <v>0</v>
      </c>
      <c r="T22" s="29">
        <v>7</v>
      </c>
      <c r="U22" s="28">
        <v>0</v>
      </c>
      <c r="V22" s="29">
        <v>0</v>
      </c>
      <c r="W22" s="26">
        <v>0</v>
      </c>
      <c r="X22" s="27">
        <v>1</v>
      </c>
      <c r="Y22" s="28">
        <v>0</v>
      </c>
      <c r="Z22" s="29">
        <v>6</v>
      </c>
    </row>
    <row r="23" spans="1:26" s="5" customFormat="1" ht="16.5" customHeight="1">
      <c r="A23" s="8"/>
      <c r="B23" s="9" t="s">
        <v>10</v>
      </c>
      <c r="C23" s="19">
        <f t="shared" si="0"/>
        <v>0</v>
      </c>
      <c r="D23" s="25">
        <f t="shared" si="0"/>
        <v>53</v>
      </c>
      <c r="E23" s="43">
        <v>0</v>
      </c>
      <c r="F23" s="27">
        <v>20</v>
      </c>
      <c r="G23" s="28">
        <v>0</v>
      </c>
      <c r="H23" s="25">
        <v>0</v>
      </c>
      <c r="I23" s="26">
        <v>0</v>
      </c>
      <c r="J23" s="27">
        <v>0</v>
      </c>
      <c r="K23" s="28">
        <v>0</v>
      </c>
      <c r="L23" s="25">
        <v>9</v>
      </c>
      <c r="M23" s="26">
        <v>0</v>
      </c>
      <c r="N23" s="27">
        <v>5</v>
      </c>
      <c r="O23" s="28">
        <v>0</v>
      </c>
      <c r="P23" s="25">
        <v>1</v>
      </c>
      <c r="Q23" s="26">
        <v>0</v>
      </c>
      <c r="R23" s="27">
        <v>3</v>
      </c>
      <c r="S23" s="19">
        <v>0</v>
      </c>
      <c r="T23" s="29">
        <v>4</v>
      </c>
      <c r="U23" s="28">
        <v>0</v>
      </c>
      <c r="V23" s="29">
        <v>1</v>
      </c>
      <c r="W23" s="26">
        <v>0</v>
      </c>
      <c r="X23" s="27">
        <v>1</v>
      </c>
      <c r="Y23" s="28">
        <v>0</v>
      </c>
      <c r="Z23" s="29">
        <v>9</v>
      </c>
    </row>
    <row r="24" spans="1:26" s="5" customFormat="1" ht="16.5" customHeight="1">
      <c r="A24" s="8"/>
      <c r="B24" s="9" t="s">
        <v>11</v>
      </c>
      <c r="C24" s="19">
        <f t="shared" si="0"/>
        <v>0</v>
      </c>
      <c r="D24" s="25">
        <f t="shared" si="0"/>
        <v>49</v>
      </c>
      <c r="E24" s="43">
        <v>0</v>
      </c>
      <c r="F24" s="27">
        <v>9</v>
      </c>
      <c r="G24" s="28">
        <v>0</v>
      </c>
      <c r="H24" s="25">
        <v>0</v>
      </c>
      <c r="I24" s="26">
        <v>0</v>
      </c>
      <c r="J24" s="27">
        <v>0</v>
      </c>
      <c r="K24" s="28">
        <v>0</v>
      </c>
      <c r="L24" s="25">
        <v>11</v>
      </c>
      <c r="M24" s="26">
        <v>0</v>
      </c>
      <c r="N24" s="27">
        <v>4</v>
      </c>
      <c r="O24" s="28">
        <v>0</v>
      </c>
      <c r="P24" s="25">
        <v>2</v>
      </c>
      <c r="Q24" s="26">
        <v>0</v>
      </c>
      <c r="R24" s="27">
        <v>10</v>
      </c>
      <c r="S24" s="19">
        <v>0</v>
      </c>
      <c r="T24" s="29">
        <v>5</v>
      </c>
      <c r="U24" s="28">
        <v>0</v>
      </c>
      <c r="V24" s="29">
        <v>0</v>
      </c>
      <c r="W24" s="26">
        <v>0</v>
      </c>
      <c r="X24" s="27">
        <v>2</v>
      </c>
      <c r="Y24" s="28">
        <v>0</v>
      </c>
      <c r="Z24" s="29">
        <v>6</v>
      </c>
    </row>
    <row r="25" spans="1:26" s="5" customFormat="1" ht="16.5" customHeight="1">
      <c r="A25" s="8"/>
      <c r="B25" s="9" t="s">
        <v>12</v>
      </c>
      <c r="C25" s="19">
        <f t="shared" si="0"/>
        <v>1</v>
      </c>
      <c r="D25" s="25">
        <f t="shared" si="0"/>
        <v>62</v>
      </c>
      <c r="E25" s="43">
        <v>0</v>
      </c>
      <c r="F25" s="27">
        <v>11</v>
      </c>
      <c r="G25" s="28">
        <v>0</v>
      </c>
      <c r="H25" s="25">
        <v>0</v>
      </c>
      <c r="I25" s="26">
        <v>0</v>
      </c>
      <c r="J25" s="27">
        <v>0</v>
      </c>
      <c r="K25" s="28">
        <v>0</v>
      </c>
      <c r="L25" s="25">
        <v>10</v>
      </c>
      <c r="M25" s="26">
        <v>0</v>
      </c>
      <c r="N25" s="27">
        <v>8</v>
      </c>
      <c r="O25" s="28">
        <v>0</v>
      </c>
      <c r="P25" s="25">
        <v>1</v>
      </c>
      <c r="Q25" s="26">
        <v>0</v>
      </c>
      <c r="R25" s="27">
        <v>14</v>
      </c>
      <c r="S25" s="19">
        <v>0</v>
      </c>
      <c r="T25" s="29">
        <v>4</v>
      </c>
      <c r="U25" s="28">
        <v>0</v>
      </c>
      <c r="V25" s="29">
        <v>0</v>
      </c>
      <c r="W25" s="26">
        <v>0</v>
      </c>
      <c r="X25" s="27">
        <v>1</v>
      </c>
      <c r="Y25" s="28">
        <v>1</v>
      </c>
      <c r="Z25" s="29">
        <v>13</v>
      </c>
    </row>
    <row r="26" spans="1:26" s="5" customFormat="1" ht="16.5" customHeight="1" thickBot="1">
      <c r="A26" s="10"/>
      <c r="B26" s="11" t="s">
        <v>13</v>
      </c>
      <c r="C26" s="21">
        <f t="shared" si="0"/>
        <v>1</v>
      </c>
      <c r="D26" s="35">
        <f t="shared" si="0"/>
        <v>41</v>
      </c>
      <c r="E26" s="46">
        <v>0</v>
      </c>
      <c r="F26" s="37">
        <v>11</v>
      </c>
      <c r="G26" s="38">
        <v>0</v>
      </c>
      <c r="H26" s="35">
        <v>0</v>
      </c>
      <c r="I26" s="36">
        <v>0</v>
      </c>
      <c r="J26" s="37">
        <v>0</v>
      </c>
      <c r="K26" s="38">
        <v>0</v>
      </c>
      <c r="L26" s="35">
        <v>12</v>
      </c>
      <c r="M26" s="36">
        <v>1</v>
      </c>
      <c r="N26" s="37">
        <v>6</v>
      </c>
      <c r="O26" s="38">
        <v>0</v>
      </c>
      <c r="P26" s="35">
        <v>0</v>
      </c>
      <c r="Q26" s="36">
        <v>0</v>
      </c>
      <c r="R26" s="37">
        <v>2</v>
      </c>
      <c r="S26" s="21">
        <v>0</v>
      </c>
      <c r="T26" s="39">
        <v>3</v>
      </c>
      <c r="U26" s="38">
        <v>0</v>
      </c>
      <c r="V26" s="39">
        <v>0</v>
      </c>
      <c r="W26" s="36">
        <v>0</v>
      </c>
      <c r="X26" s="37">
        <v>3</v>
      </c>
      <c r="Y26" s="38">
        <v>0</v>
      </c>
      <c r="Z26" s="39">
        <v>4</v>
      </c>
    </row>
    <row r="27" spans="1:26" s="5" customFormat="1" ht="16.5" customHeight="1" thickTop="1">
      <c r="A27" s="15" t="s">
        <v>62</v>
      </c>
      <c r="B27" s="16" t="s">
        <v>2</v>
      </c>
      <c r="C27" s="20">
        <v>0</v>
      </c>
      <c r="D27" s="30">
        <v>51</v>
      </c>
      <c r="E27" s="45">
        <v>0</v>
      </c>
      <c r="F27" s="32">
        <v>11</v>
      </c>
      <c r="G27" s="33">
        <v>0</v>
      </c>
      <c r="H27" s="30">
        <v>0</v>
      </c>
      <c r="I27" s="31">
        <v>0</v>
      </c>
      <c r="J27" s="32">
        <v>0</v>
      </c>
      <c r="K27" s="33">
        <v>0</v>
      </c>
      <c r="L27" s="30">
        <v>8</v>
      </c>
      <c r="M27" s="31">
        <v>0</v>
      </c>
      <c r="N27" s="32">
        <v>12</v>
      </c>
      <c r="O27" s="33">
        <v>0</v>
      </c>
      <c r="P27" s="30">
        <v>1</v>
      </c>
      <c r="Q27" s="31">
        <v>0</v>
      </c>
      <c r="R27" s="32">
        <v>2</v>
      </c>
      <c r="S27" s="20">
        <v>0</v>
      </c>
      <c r="T27" s="34">
        <v>5</v>
      </c>
      <c r="U27" s="33">
        <v>0</v>
      </c>
      <c r="V27" s="34">
        <v>2</v>
      </c>
      <c r="W27" s="31">
        <v>0</v>
      </c>
      <c r="X27" s="32">
        <v>2</v>
      </c>
      <c r="Y27" s="33">
        <v>0</v>
      </c>
      <c r="Z27" s="34">
        <v>8</v>
      </c>
    </row>
    <row r="28" spans="1:26" s="5" customFormat="1" ht="16.5" customHeight="1">
      <c r="A28" s="8"/>
      <c r="B28" s="9" t="s">
        <v>3</v>
      </c>
      <c r="C28" s="19">
        <v>1</v>
      </c>
      <c r="D28" s="25">
        <v>49</v>
      </c>
      <c r="E28" s="43">
        <v>1</v>
      </c>
      <c r="F28" s="27">
        <v>20</v>
      </c>
      <c r="G28" s="28">
        <v>0</v>
      </c>
      <c r="H28" s="25">
        <v>0</v>
      </c>
      <c r="I28" s="26">
        <v>0</v>
      </c>
      <c r="J28" s="27">
        <v>0</v>
      </c>
      <c r="K28" s="28">
        <v>0</v>
      </c>
      <c r="L28" s="25">
        <v>5</v>
      </c>
      <c r="M28" s="26">
        <v>0</v>
      </c>
      <c r="N28" s="27">
        <v>7</v>
      </c>
      <c r="O28" s="28">
        <v>0</v>
      </c>
      <c r="P28" s="25">
        <v>1</v>
      </c>
      <c r="Q28" s="26">
        <v>0</v>
      </c>
      <c r="R28" s="27">
        <v>2</v>
      </c>
      <c r="S28" s="19">
        <v>0</v>
      </c>
      <c r="T28" s="29">
        <v>3</v>
      </c>
      <c r="U28" s="28">
        <v>0</v>
      </c>
      <c r="V28" s="29">
        <v>1</v>
      </c>
      <c r="W28" s="26">
        <v>0</v>
      </c>
      <c r="X28" s="27">
        <v>1</v>
      </c>
      <c r="Y28" s="28">
        <v>0</v>
      </c>
      <c r="Z28" s="29">
        <v>9</v>
      </c>
    </row>
    <row r="29" spans="1:26" s="5" customFormat="1" ht="16.5" customHeight="1">
      <c r="A29" s="8"/>
      <c r="B29" s="9" t="s">
        <v>4</v>
      </c>
      <c r="C29" s="19">
        <v>1</v>
      </c>
      <c r="D29" s="25">
        <v>46</v>
      </c>
      <c r="E29" s="43">
        <v>0</v>
      </c>
      <c r="F29" s="27">
        <v>10</v>
      </c>
      <c r="G29" s="28">
        <v>0</v>
      </c>
      <c r="H29" s="25">
        <v>0</v>
      </c>
      <c r="I29" s="26">
        <v>0</v>
      </c>
      <c r="J29" s="27">
        <v>0</v>
      </c>
      <c r="K29" s="28">
        <v>0</v>
      </c>
      <c r="L29" s="25">
        <v>8</v>
      </c>
      <c r="M29" s="26">
        <v>0</v>
      </c>
      <c r="N29" s="27">
        <v>8</v>
      </c>
      <c r="O29" s="28">
        <v>0</v>
      </c>
      <c r="P29" s="25">
        <v>0</v>
      </c>
      <c r="Q29" s="26">
        <v>0</v>
      </c>
      <c r="R29" s="27">
        <v>1</v>
      </c>
      <c r="S29" s="19">
        <v>1</v>
      </c>
      <c r="T29" s="29">
        <v>5</v>
      </c>
      <c r="U29" s="28">
        <v>0</v>
      </c>
      <c r="V29" s="29">
        <v>2</v>
      </c>
      <c r="W29" s="26">
        <v>0</v>
      </c>
      <c r="X29" s="27">
        <v>2</v>
      </c>
      <c r="Y29" s="28">
        <v>0</v>
      </c>
      <c r="Z29" s="29">
        <v>10</v>
      </c>
    </row>
    <row r="30" spans="1:26" s="5" customFormat="1" ht="16.5" customHeight="1">
      <c r="A30" s="8"/>
      <c r="B30" s="9" t="s">
        <v>5</v>
      </c>
      <c r="C30" s="19">
        <v>1</v>
      </c>
      <c r="D30" s="25">
        <v>39</v>
      </c>
      <c r="E30" s="43">
        <v>0</v>
      </c>
      <c r="F30" s="27">
        <v>9</v>
      </c>
      <c r="G30" s="28">
        <v>0</v>
      </c>
      <c r="H30" s="25">
        <v>0</v>
      </c>
      <c r="I30" s="26">
        <v>0</v>
      </c>
      <c r="J30" s="27">
        <v>0</v>
      </c>
      <c r="K30" s="28">
        <v>0</v>
      </c>
      <c r="L30" s="25">
        <v>5</v>
      </c>
      <c r="M30" s="26">
        <v>0</v>
      </c>
      <c r="N30" s="27">
        <v>2</v>
      </c>
      <c r="O30" s="28">
        <v>0</v>
      </c>
      <c r="P30" s="25">
        <v>3</v>
      </c>
      <c r="Q30" s="26">
        <v>0</v>
      </c>
      <c r="R30" s="27">
        <v>3</v>
      </c>
      <c r="S30" s="19">
        <v>0</v>
      </c>
      <c r="T30" s="29">
        <v>5</v>
      </c>
      <c r="U30" s="28">
        <v>0</v>
      </c>
      <c r="V30" s="29">
        <v>1</v>
      </c>
      <c r="W30" s="26">
        <v>0</v>
      </c>
      <c r="X30" s="27">
        <v>3</v>
      </c>
      <c r="Y30" s="28">
        <v>1</v>
      </c>
      <c r="Z30" s="29">
        <v>8</v>
      </c>
    </row>
    <row r="31" spans="1:26" s="5" customFormat="1" ht="16.5" customHeight="1">
      <c r="A31" s="8"/>
      <c r="B31" s="9" t="s">
        <v>6</v>
      </c>
      <c r="C31" s="19">
        <v>0</v>
      </c>
      <c r="D31" s="25">
        <v>47</v>
      </c>
      <c r="E31" s="43">
        <v>0</v>
      </c>
      <c r="F31" s="27">
        <v>11</v>
      </c>
      <c r="G31" s="28">
        <v>0</v>
      </c>
      <c r="H31" s="25">
        <v>0</v>
      </c>
      <c r="I31" s="26">
        <v>0</v>
      </c>
      <c r="J31" s="27">
        <v>0</v>
      </c>
      <c r="K31" s="28">
        <v>0</v>
      </c>
      <c r="L31" s="25">
        <v>9</v>
      </c>
      <c r="M31" s="26">
        <v>0</v>
      </c>
      <c r="N31" s="27">
        <v>3</v>
      </c>
      <c r="O31" s="28">
        <v>0</v>
      </c>
      <c r="P31" s="25">
        <v>1</v>
      </c>
      <c r="Q31" s="26">
        <v>0</v>
      </c>
      <c r="R31" s="27">
        <v>8</v>
      </c>
      <c r="S31" s="19">
        <v>0</v>
      </c>
      <c r="T31" s="29">
        <v>6</v>
      </c>
      <c r="U31" s="28">
        <v>0</v>
      </c>
      <c r="V31" s="29">
        <v>3</v>
      </c>
      <c r="W31" s="26">
        <v>0</v>
      </c>
      <c r="X31" s="27">
        <v>2</v>
      </c>
      <c r="Y31" s="28">
        <v>0</v>
      </c>
      <c r="Z31" s="29">
        <v>4</v>
      </c>
    </row>
    <row r="32" spans="1:26" s="61" customFormat="1" ht="16.5" customHeight="1">
      <c r="A32" s="52"/>
      <c r="B32" s="53" t="s">
        <v>7</v>
      </c>
      <c r="C32" s="54">
        <v>1</v>
      </c>
      <c r="D32" s="55">
        <v>38</v>
      </c>
      <c r="E32" s="56">
        <v>0</v>
      </c>
      <c r="F32" s="57">
        <v>6</v>
      </c>
      <c r="G32" s="58">
        <v>0</v>
      </c>
      <c r="H32" s="55">
        <v>0</v>
      </c>
      <c r="I32" s="59">
        <v>0</v>
      </c>
      <c r="J32" s="57">
        <v>1</v>
      </c>
      <c r="K32" s="58">
        <v>1</v>
      </c>
      <c r="L32" s="55">
        <v>5</v>
      </c>
      <c r="M32" s="59">
        <v>0</v>
      </c>
      <c r="N32" s="57">
        <v>5</v>
      </c>
      <c r="O32" s="58">
        <v>0</v>
      </c>
      <c r="P32" s="55">
        <v>0</v>
      </c>
      <c r="Q32" s="59">
        <v>0</v>
      </c>
      <c r="R32" s="57">
        <v>7</v>
      </c>
      <c r="S32" s="54">
        <v>0</v>
      </c>
      <c r="T32" s="60">
        <v>2</v>
      </c>
      <c r="U32" s="58">
        <v>0</v>
      </c>
      <c r="V32" s="60">
        <v>1</v>
      </c>
      <c r="W32" s="59">
        <v>0</v>
      </c>
      <c r="X32" s="57">
        <v>2</v>
      </c>
      <c r="Y32" s="58">
        <v>0</v>
      </c>
      <c r="Z32" s="60">
        <v>9</v>
      </c>
    </row>
    <row r="33" spans="1:26" s="61" customFormat="1" ht="16.5" customHeight="1">
      <c r="A33" s="52"/>
      <c r="B33" s="53" t="s">
        <v>8</v>
      </c>
      <c r="C33" s="54">
        <v>0</v>
      </c>
      <c r="D33" s="55">
        <v>42</v>
      </c>
      <c r="E33" s="56">
        <v>0</v>
      </c>
      <c r="F33" s="57">
        <v>11</v>
      </c>
      <c r="G33" s="58">
        <v>0</v>
      </c>
      <c r="H33" s="55">
        <v>0</v>
      </c>
      <c r="I33" s="59">
        <v>0</v>
      </c>
      <c r="J33" s="57">
        <v>0</v>
      </c>
      <c r="K33" s="58">
        <v>0</v>
      </c>
      <c r="L33" s="55">
        <v>5</v>
      </c>
      <c r="M33" s="59">
        <v>0</v>
      </c>
      <c r="N33" s="57">
        <v>2</v>
      </c>
      <c r="O33" s="58">
        <v>0</v>
      </c>
      <c r="P33" s="55">
        <v>1</v>
      </c>
      <c r="Q33" s="59">
        <v>0</v>
      </c>
      <c r="R33" s="57">
        <v>2</v>
      </c>
      <c r="S33" s="54">
        <v>0</v>
      </c>
      <c r="T33" s="60">
        <v>6</v>
      </c>
      <c r="U33" s="58">
        <v>0</v>
      </c>
      <c r="V33" s="60">
        <v>4</v>
      </c>
      <c r="W33" s="59">
        <v>0</v>
      </c>
      <c r="X33" s="57">
        <v>2</v>
      </c>
      <c r="Y33" s="58">
        <v>0</v>
      </c>
      <c r="Z33" s="60">
        <v>9</v>
      </c>
    </row>
    <row r="34" spans="1:26" s="5" customFormat="1" ht="16.5" customHeight="1">
      <c r="A34" s="8"/>
      <c r="B34" s="9" t="s">
        <v>9</v>
      </c>
      <c r="C34" s="19">
        <v>0</v>
      </c>
      <c r="D34" s="25">
        <v>44</v>
      </c>
      <c r="E34" s="43">
        <v>0</v>
      </c>
      <c r="F34" s="27">
        <v>10</v>
      </c>
      <c r="G34" s="28">
        <v>0</v>
      </c>
      <c r="H34" s="25">
        <v>0</v>
      </c>
      <c r="I34" s="26">
        <v>0</v>
      </c>
      <c r="J34" s="27">
        <v>0</v>
      </c>
      <c r="K34" s="28">
        <v>0</v>
      </c>
      <c r="L34" s="25">
        <v>6</v>
      </c>
      <c r="M34" s="26">
        <v>0</v>
      </c>
      <c r="N34" s="27">
        <v>6</v>
      </c>
      <c r="O34" s="28">
        <v>0</v>
      </c>
      <c r="P34" s="25">
        <v>1</v>
      </c>
      <c r="Q34" s="26">
        <v>0</v>
      </c>
      <c r="R34" s="27">
        <v>3</v>
      </c>
      <c r="S34" s="19">
        <v>0</v>
      </c>
      <c r="T34" s="29">
        <v>4</v>
      </c>
      <c r="U34" s="28">
        <v>0</v>
      </c>
      <c r="V34" s="29">
        <v>4</v>
      </c>
      <c r="W34" s="26">
        <v>0</v>
      </c>
      <c r="X34" s="27">
        <v>2</v>
      </c>
      <c r="Y34" s="28">
        <v>0</v>
      </c>
      <c r="Z34" s="29">
        <v>8</v>
      </c>
    </row>
    <row r="35" spans="1:26" s="5" customFormat="1" ht="16.5" customHeight="1">
      <c r="A35" s="8"/>
      <c r="B35" s="9" t="s">
        <v>10</v>
      </c>
      <c r="C35" s="19">
        <v>0</v>
      </c>
      <c r="D35" s="25">
        <v>60</v>
      </c>
      <c r="E35" s="43">
        <v>0</v>
      </c>
      <c r="F35" s="27">
        <v>19</v>
      </c>
      <c r="G35" s="28">
        <v>0</v>
      </c>
      <c r="H35" s="25">
        <v>1</v>
      </c>
      <c r="I35" s="26">
        <v>0</v>
      </c>
      <c r="J35" s="27">
        <v>0</v>
      </c>
      <c r="K35" s="28">
        <v>0</v>
      </c>
      <c r="L35" s="25">
        <v>12</v>
      </c>
      <c r="M35" s="26">
        <v>0</v>
      </c>
      <c r="N35" s="27">
        <v>6</v>
      </c>
      <c r="O35" s="28">
        <v>0</v>
      </c>
      <c r="P35" s="25">
        <v>0</v>
      </c>
      <c r="Q35" s="26">
        <v>0</v>
      </c>
      <c r="R35" s="27">
        <v>7</v>
      </c>
      <c r="S35" s="19">
        <v>0</v>
      </c>
      <c r="T35" s="29">
        <v>5</v>
      </c>
      <c r="U35" s="28">
        <v>0</v>
      </c>
      <c r="V35" s="29">
        <v>3</v>
      </c>
      <c r="W35" s="26">
        <v>0</v>
      </c>
      <c r="X35" s="27">
        <v>2</v>
      </c>
      <c r="Y35" s="28">
        <v>0</v>
      </c>
      <c r="Z35" s="29">
        <v>5</v>
      </c>
    </row>
    <row r="36" spans="1:26" s="5" customFormat="1" ht="16.5" customHeight="1">
      <c r="A36" s="8"/>
      <c r="B36" s="9" t="s">
        <v>11</v>
      </c>
      <c r="C36" s="19">
        <v>1</v>
      </c>
      <c r="D36" s="25">
        <v>43</v>
      </c>
      <c r="E36" s="43">
        <v>0</v>
      </c>
      <c r="F36" s="27">
        <v>15</v>
      </c>
      <c r="G36" s="28">
        <v>0</v>
      </c>
      <c r="H36" s="25">
        <v>0</v>
      </c>
      <c r="I36" s="26">
        <v>0</v>
      </c>
      <c r="J36" s="27">
        <v>0</v>
      </c>
      <c r="K36" s="28">
        <v>1</v>
      </c>
      <c r="L36" s="25">
        <v>6</v>
      </c>
      <c r="M36" s="26">
        <v>0</v>
      </c>
      <c r="N36" s="27">
        <v>4</v>
      </c>
      <c r="O36" s="28">
        <v>0</v>
      </c>
      <c r="P36" s="25">
        <v>1</v>
      </c>
      <c r="Q36" s="26">
        <v>0</v>
      </c>
      <c r="R36" s="27">
        <v>8</v>
      </c>
      <c r="S36" s="19">
        <v>0</v>
      </c>
      <c r="T36" s="29">
        <v>3</v>
      </c>
      <c r="U36" s="28">
        <v>0</v>
      </c>
      <c r="V36" s="29">
        <v>1</v>
      </c>
      <c r="W36" s="26">
        <v>0</v>
      </c>
      <c r="X36" s="27">
        <v>0</v>
      </c>
      <c r="Y36" s="28">
        <v>0</v>
      </c>
      <c r="Z36" s="29">
        <v>5</v>
      </c>
    </row>
    <row r="37" spans="1:26" s="5" customFormat="1" ht="16.5" customHeight="1">
      <c r="A37" s="8"/>
      <c r="B37" s="9" t="s">
        <v>12</v>
      </c>
      <c r="C37" s="19">
        <v>1</v>
      </c>
      <c r="D37" s="25">
        <v>49</v>
      </c>
      <c r="E37" s="43">
        <v>0</v>
      </c>
      <c r="F37" s="27">
        <v>8</v>
      </c>
      <c r="G37" s="28">
        <v>0</v>
      </c>
      <c r="H37" s="25">
        <v>0</v>
      </c>
      <c r="I37" s="26">
        <v>0</v>
      </c>
      <c r="J37" s="27">
        <v>0</v>
      </c>
      <c r="K37" s="28">
        <v>0</v>
      </c>
      <c r="L37" s="25">
        <v>7</v>
      </c>
      <c r="M37" s="26">
        <v>0</v>
      </c>
      <c r="N37" s="27">
        <v>6</v>
      </c>
      <c r="O37" s="28">
        <v>0</v>
      </c>
      <c r="P37" s="25">
        <v>2</v>
      </c>
      <c r="Q37" s="26">
        <v>1</v>
      </c>
      <c r="R37" s="27">
        <v>7</v>
      </c>
      <c r="S37" s="19">
        <v>0</v>
      </c>
      <c r="T37" s="29">
        <v>2</v>
      </c>
      <c r="U37" s="28">
        <v>0</v>
      </c>
      <c r="V37" s="29">
        <v>2</v>
      </c>
      <c r="W37" s="26">
        <v>0</v>
      </c>
      <c r="X37" s="27">
        <v>5</v>
      </c>
      <c r="Y37" s="28">
        <v>0</v>
      </c>
      <c r="Z37" s="29">
        <v>10</v>
      </c>
    </row>
    <row r="38" spans="1:26" s="5" customFormat="1" ht="16.5" customHeight="1">
      <c r="A38" s="10"/>
      <c r="B38" s="11" t="s">
        <v>13</v>
      </c>
      <c r="C38" s="21">
        <v>1</v>
      </c>
      <c r="D38" s="35">
        <v>41</v>
      </c>
      <c r="E38" s="46">
        <v>0</v>
      </c>
      <c r="F38" s="37">
        <v>5</v>
      </c>
      <c r="G38" s="38">
        <v>0</v>
      </c>
      <c r="H38" s="35">
        <v>0</v>
      </c>
      <c r="I38" s="36">
        <v>0</v>
      </c>
      <c r="J38" s="37">
        <v>0</v>
      </c>
      <c r="K38" s="38">
        <v>0</v>
      </c>
      <c r="L38" s="35">
        <v>6</v>
      </c>
      <c r="M38" s="36">
        <v>0</v>
      </c>
      <c r="N38" s="37">
        <v>4</v>
      </c>
      <c r="O38" s="38">
        <v>0</v>
      </c>
      <c r="P38" s="35">
        <v>2</v>
      </c>
      <c r="Q38" s="36">
        <v>0</v>
      </c>
      <c r="R38" s="37">
        <v>3</v>
      </c>
      <c r="S38" s="21">
        <v>0</v>
      </c>
      <c r="T38" s="39">
        <v>4</v>
      </c>
      <c r="U38" s="38">
        <v>0</v>
      </c>
      <c r="V38" s="39">
        <v>1</v>
      </c>
      <c r="W38" s="36">
        <v>1</v>
      </c>
      <c r="X38" s="37">
        <v>3</v>
      </c>
      <c r="Y38" s="38">
        <v>0</v>
      </c>
      <c r="Z38" s="39">
        <v>13</v>
      </c>
    </row>
    <row r="39" spans="1:26" s="5" customFormat="1" ht="16.5" customHeight="1" thickBot="1">
      <c r="A39" s="64" t="s">
        <v>37</v>
      </c>
      <c r="B39" s="6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s="5" customFormat="1" ht="16.5" customHeight="1">
      <c r="A40" s="95" t="str">
        <f>"2014（平成26）年"&amp;COUNTA(E27:E38)&amp;"月迄"</f>
        <v>2014（平成26）年12月迄</v>
      </c>
      <c r="B40" s="96"/>
      <c r="C40" s="67">
        <f>SUM(C27:C38)</f>
        <v>7</v>
      </c>
      <c r="D40" s="68">
        <f aca="true" t="shared" si="1" ref="D40:K40">SUM(D27:D38)</f>
        <v>549</v>
      </c>
      <c r="E40" s="68">
        <f>SUM(E27:E38)</f>
        <v>1</v>
      </c>
      <c r="F40" s="68">
        <f t="shared" si="1"/>
        <v>135</v>
      </c>
      <c r="G40" s="68">
        <f>SUM(G27:G38)</f>
        <v>0</v>
      </c>
      <c r="H40" s="68">
        <f t="shared" si="1"/>
        <v>1</v>
      </c>
      <c r="I40" s="68">
        <f t="shared" si="1"/>
        <v>0</v>
      </c>
      <c r="J40" s="69">
        <f t="shared" si="1"/>
        <v>1</v>
      </c>
      <c r="K40" s="68">
        <f t="shared" si="1"/>
        <v>2</v>
      </c>
      <c r="L40" s="68">
        <f aca="true" t="shared" si="2" ref="L40:Z40">SUM(L27:L38)</f>
        <v>82</v>
      </c>
      <c r="M40" s="68">
        <f t="shared" si="2"/>
        <v>0</v>
      </c>
      <c r="N40" s="68">
        <f t="shared" si="2"/>
        <v>65</v>
      </c>
      <c r="O40" s="68">
        <f t="shared" si="2"/>
        <v>0</v>
      </c>
      <c r="P40" s="68">
        <f t="shared" si="2"/>
        <v>13</v>
      </c>
      <c r="Q40" s="68">
        <f t="shared" si="2"/>
        <v>1</v>
      </c>
      <c r="R40" s="68">
        <f t="shared" si="2"/>
        <v>53</v>
      </c>
      <c r="S40" s="67">
        <f t="shared" si="2"/>
        <v>1</v>
      </c>
      <c r="T40" s="68">
        <f t="shared" si="2"/>
        <v>50</v>
      </c>
      <c r="U40" s="68">
        <f t="shared" si="2"/>
        <v>0</v>
      </c>
      <c r="V40" s="68">
        <f t="shared" si="2"/>
        <v>25</v>
      </c>
      <c r="W40" s="68">
        <f t="shared" si="2"/>
        <v>1</v>
      </c>
      <c r="X40" s="68">
        <f t="shared" si="2"/>
        <v>26</v>
      </c>
      <c r="Y40" s="68">
        <f t="shared" si="2"/>
        <v>1</v>
      </c>
      <c r="Z40" s="70">
        <f t="shared" si="2"/>
        <v>98</v>
      </c>
    </row>
    <row r="41" spans="1:26" s="5" customFormat="1" ht="16.5" customHeight="1">
      <c r="A41" s="97" t="str">
        <f>"前年"&amp;COUNTA(E27:E38)&amp;"月迄"</f>
        <v>前年12月迄</v>
      </c>
      <c r="B41" s="98"/>
      <c r="C41" s="71">
        <f ca="1">SUM(C15:(INDIRECT("c"&amp;COUNT($E27:$E38)+14)))</f>
        <v>7</v>
      </c>
      <c r="D41" s="71">
        <f ca="1">SUM(D15:(INDIRECT("d"&amp;COUNT($E27:$E38)+14)))</f>
        <v>502</v>
      </c>
      <c r="E41" s="71">
        <f ca="1">SUM(E15:(INDIRECT("e"&amp;COUNT($E27:$E38)+14)))</f>
        <v>2</v>
      </c>
      <c r="F41" s="71">
        <f ca="1">SUM(F15:(INDIRECT("f"&amp;COUNT($E27:$E38)+14)))</f>
        <v>119</v>
      </c>
      <c r="G41" s="71">
        <f ca="1">SUM(G15:(INDIRECT("g"&amp;COUNT($E27:$E38)+14)))</f>
        <v>0</v>
      </c>
      <c r="H41" s="71">
        <f ca="1">SUM(H15:(INDIRECT("h"&amp;COUNT($E27:$E38)+14)))</f>
        <v>0</v>
      </c>
      <c r="I41" s="71">
        <f ca="1">SUM(I15:(INDIRECT("i"&amp;COUNT($E27:$E38)+14)))</f>
        <v>0</v>
      </c>
      <c r="J41" s="71">
        <f ca="1">SUM(J15:(INDIRECT("j"&amp;COUNT($E27:$E38)+14)))</f>
        <v>2</v>
      </c>
      <c r="K41" s="71">
        <f ca="1">SUM(K15:(INDIRECT("k"&amp;COUNT($E27:$E38)+14)))</f>
        <v>1</v>
      </c>
      <c r="L41" s="71">
        <f ca="1">SUM(L15:(INDIRECT("l"&amp;COUNT($E27:$E38)+14)))</f>
        <v>87</v>
      </c>
      <c r="M41" s="71">
        <f ca="1">SUM(M15:(INDIRECT("m"&amp;COUNT($E27:$E38)+14)))</f>
        <v>1</v>
      </c>
      <c r="N41" s="71">
        <f ca="1">SUM(N15:(INDIRECT("n"&amp;COUNT($E27:$E38)+14)))</f>
        <v>54</v>
      </c>
      <c r="O41" s="71">
        <f ca="1">SUM(O15:(INDIRECT("o"&amp;COUNT($E27:$E38)+14)))</f>
        <v>0</v>
      </c>
      <c r="P41" s="71">
        <f ca="1">SUM(P15:(INDIRECT("p"&amp;COUNT($E27:$E38)+14)))</f>
        <v>8</v>
      </c>
      <c r="Q41" s="71">
        <f ca="1">SUM(Q15:(INDIRECT("q"&amp;COUNT($E27:$E38)+14)))</f>
        <v>2</v>
      </c>
      <c r="R41" s="71">
        <f ca="1">SUM(R15:(INDIRECT("r"&amp;COUNT($E27:$E38)+14)))</f>
        <v>70</v>
      </c>
      <c r="S41" s="71">
        <f ca="1">SUM(S15:(INDIRECT("s"&amp;COUNT($E27:$E38)+14)))</f>
        <v>0</v>
      </c>
      <c r="T41" s="71">
        <f ca="1">SUM(T15:(INDIRECT("t"&amp;COUNT($E27:$E38)+14)))</f>
        <v>43</v>
      </c>
      <c r="U41" s="71">
        <f ca="1">SUM(U15:(INDIRECT("u"&amp;COUNT($E27:$E38)+14)))</f>
        <v>0</v>
      </c>
      <c r="V41" s="71">
        <f ca="1">SUM(V15:(INDIRECT("v"&amp;COUNT($E27:$E38)+14)))</f>
        <v>10</v>
      </c>
      <c r="W41" s="71">
        <f ca="1">SUM(W15:(INDIRECT("w"&amp;COUNT($E27:$E38)+14)))</f>
        <v>0</v>
      </c>
      <c r="X41" s="71">
        <f ca="1">SUM(X15:(INDIRECT("x"&amp;COUNT($E27:$E38)+14)))</f>
        <v>17</v>
      </c>
      <c r="Y41" s="71">
        <f ca="1">SUM(Y15:(INDIRECT("y"&amp;COUNT($E27:$E38)+14)))</f>
        <v>1</v>
      </c>
      <c r="Z41" s="72">
        <f ca="1">SUM(Z15:(INDIRECT("z"&amp;COUNT($E27:$E38)+14)))</f>
        <v>92</v>
      </c>
    </row>
    <row r="42" spans="1:26" s="5" customFormat="1" ht="16.5" customHeight="1" thickBot="1">
      <c r="A42" s="99" t="s">
        <v>36</v>
      </c>
      <c r="B42" s="100"/>
      <c r="C42" s="73">
        <f>C40-C41</f>
        <v>0</v>
      </c>
      <c r="D42" s="74">
        <f aca="true" t="shared" si="3" ref="D42:K42">D40-D41</f>
        <v>47</v>
      </c>
      <c r="E42" s="75">
        <f t="shared" si="3"/>
        <v>-1</v>
      </c>
      <c r="F42" s="74">
        <f t="shared" si="3"/>
        <v>16</v>
      </c>
      <c r="G42" s="74">
        <f t="shared" si="3"/>
        <v>0</v>
      </c>
      <c r="H42" s="74">
        <f t="shared" si="3"/>
        <v>1</v>
      </c>
      <c r="I42" s="74">
        <f t="shared" si="3"/>
        <v>0</v>
      </c>
      <c r="J42" s="66">
        <f t="shared" si="3"/>
        <v>-1</v>
      </c>
      <c r="K42" s="74">
        <f t="shared" si="3"/>
        <v>1</v>
      </c>
      <c r="L42" s="62">
        <f aca="true" t="shared" si="4" ref="L42:Z42">L40-L41</f>
        <v>-5</v>
      </c>
      <c r="M42" s="62">
        <f t="shared" si="4"/>
        <v>-1</v>
      </c>
      <c r="N42" s="74">
        <f t="shared" si="4"/>
        <v>11</v>
      </c>
      <c r="O42" s="74">
        <f t="shared" si="4"/>
        <v>0</v>
      </c>
      <c r="P42" s="74">
        <f t="shared" si="4"/>
        <v>5</v>
      </c>
      <c r="Q42" s="62">
        <f t="shared" si="4"/>
        <v>-1</v>
      </c>
      <c r="R42" s="62">
        <f t="shared" si="4"/>
        <v>-17</v>
      </c>
      <c r="S42" s="73">
        <f t="shared" si="4"/>
        <v>1</v>
      </c>
      <c r="T42" s="74">
        <f t="shared" si="4"/>
        <v>7</v>
      </c>
      <c r="U42" s="74">
        <f t="shared" si="4"/>
        <v>0</v>
      </c>
      <c r="V42" s="74">
        <f t="shared" si="4"/>
        <v>15</v>
      </c>
      <c r="W42" s="74">
        <f t="shared" si="4"/>
        <v>1</v>
      </c>
      <c r="X42" s="74">
        <f t="shared" si="4"/>
        <v>9</v>
      </c>
      <c r="Y42" s="74">
        <f t="shared" si="4"/>
        <v>0</v>
      </c>
      <c r="Z42" s="63">
        <f t="shared" si="4"/>
        <v>6</v>
      </c>
    </row>
    <row r="43" s="5" customFormat="1" ht="16.5" customHeight="1">
      <c r="A43" s="5" t="s">
        <v>28</v>
      </c>
    </row>
    <row r="44" s="2" customFormat="1" ht="16.5" customHeight="1">
      <c r="A44" s="5" t="s">
        <v>34</v>
      </c>
    </row>
    <row r="45" s="5" customFormat="1" ht="16.5" customHeight="1">
      <c r="A45" s="5" t="s">
        <v>30</v>
      </c>
    </row>
    <row r="46" s="5" customFormat="1" ht="16.5" customHeight="1">
      <c r="B46" s="5" t="s">
        <v>31</v>
      </c>
    </row>
    <row r="47" s="5" customFormat="1" ht="16.5" customHeight="1">
      <c r="B47" s="5" t="s">
        <v>32</v>
      </c>
    </row>
    <row r="48" s="5" customFormat="1" ht="16.5" customHeight="1">
      <c r="B48" s="5" t="s">
        <v>33</v>
      </c>
    </row>
    <row r="49" s="5" customFormat="1" ht="16.5" customHeight="1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</sheetData>
  <sheetProtection/>
  <mergeCells count="16">
    <mergeCell ref="A4:B5"/>
    <mergeCell ref="C4:D4"/>
    <mergeCell ref="E4:F4"/>
    <mergeCell ref="G4:H4"/>
    <mergeCell ref="I4:J4"/>
    <mergeCell ref="K4:L4"/>
    <mergeCell ref="A42:B42"/>
    <mergeCell ref="A41:B41"/>
    <mergeCell ref="A40:B40"/>
    <mergeCell ref="Y4:Z4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63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>
      <c r="A13" s="8" t="s">
        <v>47</v>
      </c>
      <c r="B13" s="14" t="s">
        <v>1</v>
      </c>
      <c r="C13" s="19">
        <v>6</v>
      </c>
      <c r="D13" s="25">
        <v>470</v>
      </c>
      <c r="E13" s="43">
        <v>0</v>
      </c>
      <c r="F13" s="29">
        <v>117</v>
      </c>
      <c r="G13" s="19">
        <v>0</v>
      </c>
      <c r="H13" s="25">
        <v>0</v>
      </c>
      <c r="I13" s="19">
        <v>0</v>
      </c>
      <c r="J13" s="25">
        <v>1</v>
      </c>
      <c r="K13" s="19">
        <v>2</v>
      </c>
      <c r="L13" s="25">
        <v>65</v>
      </c>
      <c r="M13" s="19">
        <v>1</v>
      </c>
      <c r="N13" s="25">
        <v>52</v>
      </c>
      <c r="O13" s="19">
        <v>1</v>
      </c>
      <c r="P13" s="25">
        <v>12</v>
      </c>
      <c r="Q13" s="19">
        <v>1</v>
      </c>
      <c r="R13" s="25">
        <v>73</v>
      </c>
      <c r="S13" s="19">
        <v>1</v>
      </c>
      <c r="T13" s="25">
        <v>33</v>
      </c>
      <c r="U13" s="19">
        <v>0</v>
      </c>
      <c r="V13" s="29">
        <v>11</v>
      </c>
      <c r="W13" s="19">
        <v>0</v>
      </c>
      <c r="X13" s="25">
        <v>15</v>
      </c>
      <c r="Y13" s="19">
        <v>0</v>
      </c>
      <c r="Z13" s="29">
        <v>91</v>
      </c>
    </row>
    <row r="14" spans="1:26" s="14" customFormat="1" ht="18.75" customHeight="1" thickBot="1">
      <c r="A14" s="47" t="s">
        <v>48</v>
      </c>
      <c r="B14" s="48" t="s">
        <v>1</v>
      </c>
      <c r="C14" s="49">
        <f aca="true" t="shared" si="0" ref="C14:Z14">SUM(C15:C26)</f>
        <v>7</v>
      </c>
      <c r="D14" s="50">
        <f t="shared" si="0"/>
        <v>502</v>
      </c>
      <c r="E14" s="51">
        <f t="shared" si="0"/>
        <v>2</v>
      </c>
      <c r="F14" s="40">
        <f t="shared" si="0"/>
        <v>119</v>
      </c>
      <c r="G14" s="49">
        <f t="shared" si="0"/>
        <v>0</v>
      </c>
      <c r="H14" s="50">
        <f t="shared" si="0"/>
        <v>0</v>
      </c>
      <c r="I14" s="49">
        <f t="shared" si="0"/>
        <v>0</v>
      </c>
      <c r="J14" s="50">
        <f t="shared" si="0"/>
        <v>2</v>
      </c>
      <c r="K14" s="49">
        <f t="shared" si="0"/>
        <v>1</v>
      </c>
      <c r="L14" s="50">
        <f t="shared" si="0"/>
        <v>87</v>
      </c>
      <c r="M14" s="49">
        <f t="shared" si="0"/>
        <v>1</v>
      </c>
      <c r="N14" s="50">
        <f t="shared" si="0"/>
        <v>54</v>
      </c>
      <c r="O14" s="49">
        <f t="shared" si="0"/>
        <v>0</v>
      </c>
      <c r="P14" s="50">
        <f t="shared" si="0"/>
        <v>8</v>
      </c>
      <c r="Q14" s="49">
        <f t="shared" si="0"/>
        <v>2</v>
      </c>
      <c r="R14" s="50">
        <f t="shared" si="0"/>
        <v>70</v>
      </c>
      <c r="S14" s="49">
        <f t="shared" si="0"/>
        <v>0</v>
      </c>
      <c r="T14" s="50">
        <f t="shared" si="0"/>
        <v>43</v>
      </c>
      <c r="U14" s="49">
        <f t="shared" si="0"/>
        <v>0</v>
      </c>
      <c r="V14" s="40">
        <f t="shared" si="0"/>
        <v>10</v>
      </c>
      <c r="W14" s="49">
        <f t="shared" si="0"/>
        <v>0</v>
      </c>
      <c r="X14" s="50">
        <f t="shared" si="0"/>
        <v>17</v>
      </c>
      <c r="Y14" s="49">
        <f t="shared" si="0"/>
        <v>1</v>
      </c>
      <c r="Z14" s="40">
        <f t="shared" si="0"/>
        <v>92</v>
      </c>
    </row>
    <row r="15" spans="1:26" s="5" customFormat="1" ht="16.5" customHeight="1" thickTop="1">
      <c r="A15" s="15" t="s">
        <v>48</v>
      </c>
      <c r="B15" s="16" t="s">
        <v>2</v>
      </c>
      <c r="C15" s="20">
        <v>1</v>
      </c>
      <c r="D15" s="30">
        <v>36</v>
      </c>
      <c r="E15" s="45">
        <v>0</v>
      </c>
      <c r="F15" s="32">
        <v>11</v>
      </c>
      <c r="G15" s="33">
        <v>0</v>
      </c>
      <c r="H15" s="30">
        <v>0</v>
      </c>
      <c r="I15" s="31">
        <v>0</v>
      </c>
      <c r="J15" s="32">
        <v>0</v>
      </c>
      <c r="K15" s="33">
        <v>0</v>
      </c>
      <c r="L15" s="30">
        <v>2</v>
      </c>
      <c r="M15" s="31">
        <v>0</v>
      </c>
      <c r="N15" s="32">
        <v>3</v>
      </c>
      <c r="O15" s="33">
        <v>0</v>
      </c>
      <c r="P15" s="30">
        <v>2</v>
      </c>
      <c r="Q15" s="31">
        <v>1</v>
      </c>
      <c r="R15" s="32">
        <v>7</v>
      </c>
      <c r="S15" s="20">
        <v>0</v>
      </c>
      <c r="T15" s="34">
        <v>4</v>
      </c>
      <c r="U15" s="33">
        <v>0</v>
      </c>
      <c r="V15" s="34">
        <v>0</v>
      </c>
      <c r="W15" s="31">
        <v>0</v>
      </c>
      <c r="X15" s="32">
        <v>0</v>
      </c>
      <c r="Y15" s="33">
        <v>0</v>
      </c>
      <c r="Z15" s="34">
        <v>7</v>
      </c>
    </row>
    <row r="16" spans="1:26" s="5" customFormat="1" ht="16.5" customHeight="1">
      <c r="A16" s="8"/>
      <c r="B16" s="9" t="s">
        <v>3</v>
      </c>
      <c r="C16" s="19">
        <v>0</v>
      </c>
      <c r="D16" s="25">
        <v>45</v>
      </c>
      <c r="E16" s="43">
        <v>0</v>
      </c>
      <c r="F16" s="27">
        <v>8</v>
      </c>
      <c r="G16" s="28">
        <v>0</v>
      </c>
      <c r="H16" s="25">
        <v>0</v>
      </c>
      <c r="I16" s="26">
        <v>0</v>
      </c>
      <c r="J16" s="27">
        <v>1</v>
      </c>
      <c r="K16" s="28">
        <v>0</v>
      </c>
      <c r="L16" s="25">
        <v>4</v>
      </c>
      <c r="M16" s="26">
        <v>0</v>
      </c>
      <c r="N16" s="27">
        <v>11</v>
      </c>
      <c r="O16" s="28">
        <v>0</v>
      </c>
      <c r="P16" s="25">
        <v>0</v>
      </c>
      <c r="Q16" s="26">
        <v>0</v>
      </c>
      <c r="R16" s="27">
        <v>3</v>
      </c>
      <c r="S16" s="19">
        <v>0</v>
      </c>
      <c r="T16" s="29">
        <v>3</v>
      </c>
      <c r="U16" s="28">
        <v>0</v>
      </c>
      <c r="V16" s="29">
        <v>0</v>
      </c>
      <c r="W16" s="26">
        <v>0</v>
      </c>
      <c r="X16" s="27">
        <v>2</v>
      </c>
      <c r="Y16" s="28">
        <v>0</v>
      </c>
      <c r="Z16" s="29">
        <v>13</v>
      </c>
    </row>
    <row r="17" spans="1:26" s="5" customFormat="1" ht="16.5" customHeight="1">
      <c r="A17" s="8"/>
      <c r="B17" s="9" t="s">
        <v>4</v>
      </c>
      <c r="C17" s="19">
        <v>1</v>
      </c>
      <c r="D17" s="25">
        <v>39</v>
      </c>
      <c r="E17" s="43">
        <v>0</v>
      </c>
      <c r="F17" s="27">
        <v>15</v>
      </c>
      <c r="G17" s="28">
        <v>0</v>
      </c>
      <c r="H17" s="25">
        <v>0</v>
      </c>
      <c r="I17" s="26">
        <v>0</v>
      </c>
      <c r="J17" s="27">
        <v>1</v>
      </c>
      <c r="K17" s="28">
        <v>0</v>
      </c>
      <c r="L17" s="25">
        <v>3</v>
      </c>
      <c r="M17" s="26">
        <v>0</v>
      </c>
      <c r="N17" s="27">
        <v>2</v>
      </c>
      <c r="O17" s="28">
        <v>0</v>
      </c>
      <c r="P17" s="25">
        <v>1</v>
      </c>
      <c r="Q17" s="26">
        <v>1</v>
      </c>
      <c r="R17" s="27">
        <v>3</v>
      </c>
      <c r="S17" s="19">
        <v>0</v>
      </c>
      <c r="T17" s="29">
        <v>4</v>
      </c>
      <c r="U17" s="28">
        <v>0</v>
      </c>
      <c r="V17" s="29">
        <v>1</v>
      </c>
      <c r="W17" s="26">
        <v>0</v>
      </c>
      <c r="X17" s="27">
        <v>1</v>
      </c>
      <c r="Y17" s="28">
        <v>0</v>
      </c>
      <c r="Z17" s="29">
        <v>8</v>
      </c>
    </row>
    <row r="18" spans="1:26" s="5" customFormat="1" ht="16.5" customHeight="1">
      <c r="A18" s="8"/>
      <c r="B18" s="9" t="s">
        <v>5</v>
      </c>
      <c r="C18" s="19">
        <v>0</v>
      </c>
      <c r="D18" s="25">
        <v>22</v>
      </c>
      <c r="E18" s="43">
        <v>0</v>
      </c>
      <c r="F18" s="27">
        <v>2</v>
      </c>
      <c r="G18" s="28">
        <v>0</v>
      </c>
      <c r="H18" s="25">
        <v>0</v>
      </c>
      <c r="I18" s="26">
        <v>0</v>
      </c>
      <c r="J18" s="27">
        <v>0</v>
      </c>
      <c r="K18" s="28">
        <v>0</v>
      </c>
      <c r="L18" s="25">
        <v>3</v>
      </c>
      <c r="M18" s="26">
        <v>0</v>
      </c>
      <c r="N18" s="27">
        <v>1</v>
      </c>
      <c r="O18" s="28">
        <v>0</v>
      </c>
      <c r="P18" s="25">
        <v>1</v>
      </c>
      <c r="Q18" s="26">
        <v>0</v>
      </c>
      <c r="R18" s="27">
        <v>5</v>
      </c>
      <c r="S18" s="19">
        <v>0</v>
      </c>
      <c r="T18" s="29">
        <v>2</v>
      </c>
      <c r="U18" s="28">
        <v>0</v>
      </c>
      <c r="V18" s="29">
        <v>2</v>
      </c>
      <c r="W18" s="26">
        <v>0</v>
      </c>
      <c r="X18" s="27">
        <v>1</v>
      </c>
      <c r="Y18" s="28">
        <v>0</v>
      </c>
      <c r="Z18" s="29">
        <v>5</v>
      </c>
    </row>
    <row r="19" spans="1:26" s="5" customFormat="1" ht="16.5" customHeight="1">
      <c r="A19" s="8"/>
      <c r="B19" s="9" t="s">
        <v>6</v>
      </c>
      <c r="C19" s="19">
        <v>1</v>
      </c>
      <c r="D19" s="25">
        <v>40</v>
      </c>
      <c r="E19" s="43">
        <v>0</v>
      </c>
      <c r="F19" s="27">
        <v>7</v>
      </c>
      <c r="G19" s="28">
        <v>0</v>
      </c>
      <c r="H19" s="25">
        <v>0</v>
      </c>
      <c r="I19" s="26">
        <v>0</v>
      </c>
      <c r="J19" s="27">
        <v>0</v>
      </c>
      <c r="K19" s="28">
        <v>1</v>
      </c>
      <c r="L19" s="25">
        <v>6</v>
      </c>
      <c r="M19" s="26">
        <v>0</v>
      </c>
      <c r="N19" s="27">
        <v>4</v>
      </c>
      <c r="O19" s="28">
        <v>0</v>
      </c>
      <c r="P19" s="25">
        <v>0</v>
      </c>
      <c r="Q19" s="26">
        <v>0</v>
      </c>
      <c r="R19" s="27">
        <v>10</v>
      </c>
      <c r="S19" s="19">
        <v>0</v>
      </c>
      <c r="T19" s="29">
        <v>5</v>
      </c>
      <c r="U19" s="28">
        <v>0</v>
      </c>
      <c r="V19" s="29">
        <v>1</v>
      </c>
      <c r="W19" s="26">
        <v>0</v>
      </c>
      <c r="X19" s="27">
        <v>3</v>
      </c>
      <c r="Y19" s="28">
        <v>0</v>
      </c>
      <c r="Z19" s="29">
        <v>4</v>
      </c>
    </row>
    <row r="20" spans="1:26" s="61" customFormat="1" ht="16.5" customHeight="1">
      <c r="A20" s="52"/>
      <c r="B20" s="53" t="s">
        <v>7</v>
      </c>
      <c r="C20" s="54">
        <v>0</v>
      </c>
      <c r="D20" s="55">
        <v>39</v>
      </c>
      <c r="E20" s="56">
        <v>0</v>
      </c>
      <c r="F20" s="57">
        <v>7</v>
      </c>
      <c r="G20" s="58">
        <v>0</v>
      </c>
      <c r="H20" s="55">
        <v>0</v>
      </c>
      <c r="I20" s="59">
        <v>0</v>
      </c>
      <c r="J20" s="57">
        <v>0</v>
      </c>
      <c r="K20" s="58">
        <v>0</v>
      </c>
      <c r="L20" s="55">
        <v>10</v>
      </c>
      <c r="M20" s="59">
        <v>0</v>
      </c>
      <c r="N20" s="57">
        <v>2</v>
      </c>
      <c r="O20" s="58">
        <v>0</v>
      </c>
      <c r="P20" s="55">
        <v>0</v>
      </c>
      <c r="Q20" s="59">
        <v>0</v>
      </c>
      <c r="R20" s="57">
        <v>5</v>
      </c>
      <c r="S20" s="54">
        <v>0</v>
      </c>
      <c r="T20" s="60">
        <v>2</v>
      </c>
      <c r="U20" s="58">
        <v>0</v>
      </c>
      <c r="V20" s="60">
        <v>0</v>
      </c>
      <c r="W20" s="59">
        <v>0</v>
      </c>
      <c r="X20" s="57">
        <v>2</v>
      </c>
      <c r="Y20" s="58">
        <v>0</v>
      </c>
      <c r="Z20" s="60">
        <v>11</v>
      </c>
    </row>
    <row r="21" spans="1:26" s="61" customFormat="1" ht="16.5" customHeight="1">
      <c r="A21" s="52"/>
      <c r="B21" s="53" t="s">
        <v>8</v>
      </c>
      <c r="C21" s="54">
        <v>2</v>
      </c>
      <c r="D21" s="55">
        <v>30</v>
      </c>
      <c r="E21" s="56">
        <v>2</v>
      </c>
      <c r="F21" s="57">
        <v>5</v>
      </c>
      <c r="G21" s="58">
        <v>0</v>
      </c>
      <c r="H21" s="55">
        <v>0</v>
      </c>
      <c r="I21" s="59">
        <v>0</v>
      </c>
      <c r="J21" s="57">
        <v>0</v>
      </c>
      <c r="K21" s="58">
        <v>0</v>
      </c>
      <c r="L21" s="55">
        <v>6</v>
      </c>
      <c r="M21" s="59">
        <v>0</v>
      </c>
      <c r="N21" s="57">
        <v>4</v>
      </c>
      <c r="O21" s="58">
        <v>0</v>
      </c>
      <c r="P21" s="55">
        <v>0</v>
      </c>
      <c r="Q21" s="59">
        <v>0</v>
      </c>
      <c r="R21" s="57">
        <v>4</v>
      </c>
      <c r="S21" s="54">
        <v>0</v>
      </c>
      <c r="T21" s="60">
        <v>0</v>
      </c>
      <c r="U21" s="58">
        <v>0</v>
      </c>
      <c r="V21" s="60">
        <v>5</v>
      </c>
      <c r="W21" s="59">
        <v>0</v>
      </c>
      <c r="X21" s="57">
        <v>0</v>
      </c>
      <c r="Y21" s="58">
        <v>0</v>
      </c>
      <c r="Z21" s="60">
        <v>6</v>
      </c>
    </row>
    <row r="22" spans="1:26" s="5" customFormat="1" ht="16.5" customHeight="1">
      <c r="A22" s="8"/>
      <c r="B22" s="9" t="s">
        <v>9</v>
      </c>
      <c r="C22" s="19">
        <v>0</v>
      </c>
      <c r="D22" s="25">
        <v>46</v>
      </c>
      <c r="E22" s="43">
        <v>0</v>
      </c>
      <c r="F22" s="27">
        <v>13</v>
      </c>
      <c r="G22" s="28">
        <v>0</v>
      </c>
      <c r="H22" s="25">
        <v>0</v>
      </c>
      <c r="I22" s="26">
        <v>0</v>
      </c>
      <c r="J22" s="27">
        <v>0</v>
      </c>
      <c r="K22" s="28">
        <v>0</v>
      </c>
      <c r="L22" s="25">
        <v>11</v>
      </c>
      <c r="M22" s="26">
        <v>0</v>
      </c>
      <c r="N22" s="27">
        <v>4</v>
      </c>
      <c r="O22" s="28">
        <v>0</v>
      </c>
      <c r="P22" s="25">
        <v>0</v>
      </c>
      <c r="Q22" s="26">
        <v>0</v>
      </c>
      <c r="R22" s="27">
        <v>4</v>
      </c>
      <c r="S22" s="19">
        <v>0</v>
      </c>
      <c r="T22" s="29">
        <v>7</v>
      </c>
      <c r="U22" s="28">
        <v>0</v>
      </c>
      <c r="V22" s="29">
        <v>0</v>
      </c>
      <c r="W22" s="26">
        <v>0</v>
      </c>
      <c r="X22" s="27">
        <v>1</v>
      </c>
      <c r="Y22" s="28">
        <v>0</v>
      </c>
      <c r="Z22" s="29">
        <v>6</v>
      </c>
    </row>
    <row r="23" spans="1:26" s="5" customFormat="1" ht="16.5" customHeight="1">
      <c r="A23" s="8"/>
      <c r="B23" s="9" t="s">
        <v>10</v>
      </c>
      <c r="C23" s="19">
        <v>0</v>
      </c>
      <c r="D23" s="25">
        <v>53</v>
      </c>
      <c r="E23" s="43">
        <v>0</v>
      </c>
      <c r="F23" s="27">
        <v>20</v>
      </c>
      <c r="G23" s="28">
        <v>0</v>
      </c>
      <c r="H23" s="25">
        <v>0</v>
      </c>
      <c r="I23" s="26">
        <v>0</v>
      </c>
      <c r="J23" s="27">
        <v>0</v>
      </c>
      <c r="K23" s="28">
        <v>0</v>
      </c>
      <c r="L23" s="25">
        <v>9</v>
      </c>
      <c r="M23" s="26">
        <v>0</v>
      </c>
      <c r="N23" s="27">
        <v>5</v>
      </c>
      <c r="O23" s="28">
        <v>0</v>
      </c>
      <c r="P23" s="25">
        <v>1</v>
      </c>
      <c r="Q23" s="26">
        <v>0</v>
      </c>
      <c r="R23" s="27">
        <v>3</v>
      </c>
      <c r="S23" s="19">
        <v>0</v>
      </c>
      <c r="T23" s="29">
        <v>4</v>
      </c>
      <c r="U23" s="28">
        <v>0</v>
      </c>
      <c r="V23" s="29">
        <v>1</v>
      </c>
      <c r="W23" s="26">
        <v>0</v>
      </c>
      <c r="X23" s="27">
        <v>1</v>
      </c>
      <c r="Y23" s="28">
        <v>0</v>
      </c>
      <c r="Z23" s="29">
        <v>9</v>
      </c>
    </row>
    <row r="24" spans="1:26" s="5" customFormat="1" ht="16.5" customHeight="1">
      <c r="A24" s="8"/>
      <c r="B24" s="9" t="s">
        <v>11</v>
      </c>
      <c r="C24" s="19">
        <v>0</v>
      </c>
      <c r="D24" s="25">
        <v>49</v>
      </c>
      <c r="E24" s="43">
        <v>0</v>
      </c>
      <c r="F24" s="27">
        <v>9</v>
      </c>
      <c r="G24" s="28">
        <v>0</v>
      </c>
      <c r="H24" s="25">
        <v>0</v>
      </c>
      <c r="I24" s="26">
        <v>0</v>
      </c>
      <c r="J24" s="27">
        <v>0</v>
      </c>
      <c r="K24" s="28">
        <v>0</v>
      </c>
      <c r="L24" s="25">
        <v>11</v>
      </c>
      <c r="M24" s="26">
        <v>0</v>
      </c>
      <c r="N24" s="27">
        <v>4</v>
      </c>
      <c r="O24" s="28">
        <v>0</v>
      </c>
      <c r="P24" s="25">
        <v>2</v>
      </c>
      <c r="Q24" s="26">
        <v>0</v>
      </c>
      <c r="R24" s="27">
        <v>10</v>
      </c>
      <c r="S24" s="19">
        <v>0</v>
      </c>
      <c r="T24" s="29">
        <v>5</v>
      </c>
      <c r="U24" s="28">
        <v>0</v>
      </c>
      <c r="V24" s="29">
        <v>0</v>
      </c>
      <c r="W24" s="26">
        <v>0</v>
      </c>
      <c r="X24" s="27">
        <v>2</v>
      </c>
      <c r="Y24" s="28">
        <v>0</v>
      </c>
      <c r="Z24" s="29">
        <v>6</v>
      </c>
    </row>
    <row r="25" spans="1:26" s="5" customFormat="1" ht="16.5" customHeight="1">
      <c r="A25" s="8"/>
      <c r="B25" s="9" t="s">
        <v>12</v>
      </c>
      <c r="C25" s="19">
        <v>1</v>
      </c>
      <c r="D25" s="25">
        <v>62</v>
      </c>
      <c r="E25" s="43">
        <v>0</v>
      </c>
      <c r="F25" s="27">
        <v>11</v>
      </c>
      <c r="G25" s="28">
        <v>0</v>
      </c>
      <c r="H25" s="25">
        <v>0</v>
      </c>
      <c r="I25" s="26">
        <v>0</v>
      </c>
      <c r="J25" s="27">
        <v>0</v>
      </c>
      <c r="K25" s="28">
        <v>0</v>
      </c>
      <c r="L25" s="25">
        <v>10</v>
      </c>
      <c r="M25" s="26">
        <v>0</v>
      </c>
      <c r="N25" s="27">
        <v>8</v>
      </c>
      <c r="O25" s="28">
        <v>0</v>
      </c>
      <c r="P25" s="25">
        <v>1</v>
      </c>
      <c r="Q25" s="26">
        <v>0</v>
      </c>
      <c r="R25" s="27">
        <v>14</v>
      </c>
      <c r="S25" s="19">
        <v>0</v>
      </c>
      <c r="T25" s="29">
        <v>4</v>
      </c>
      <c r="U25" s="28">
        <v>0</v>
      </c>
      <c r="V25" s="29">
        <v>0</v>
      </c>
      <c r="W25" s="26">
        <v>0</v>
      </c>
      <c r="X25" s="27">
        <v>1</v>
      </c>
      <c r="Y25" s="28">
        <v>1</v>
      </c>
      <c r="Z25" s="29">
        <v>13</v>
      </c>
    </row>
    <row r="26" spans="1:26" s="5" customFormat="1" ht="16.5" customHeight="1">
      <c r="A26" s="10"/>
      <c r="B26" s="11" t="s">
        <v>13</v>
      </c>
      <c r="C26" s="21">
        <v>1</v>
      </c>
      <c r="D26" s="35">
        <v>41</v>
      </c>
      <c r="E26" s="46">
        <v>0</v>
      </c>
      <c r="F26" s="37">
        <v>11</v>
      </c>
      <c r="G26" s="38">
        <v>0</v>
      </c>
      <c r="H26" s="35">
        <v>0</v>
      </c>
      <c r="I26" s="36">
        <v>0</v>
      </c>
      <c r="J26" s="37">
        <v>0</v>
      </c>
      <c r="K26" s="38">
        <v>0</v>
      </c>
      <c r="L26" s="35">
        <v>12</v>
      </c>
      <c r="M26" s="36">
        <v>1</v>
      </c>
      <c r="N26" s="37">
        <v>6</v>
      </c>
      <c r="O26" s="38">
        <v>0</v>
      </c>
      <c r="P26" s="35">
        <v>0</v>
      </c>
      <c r="Q26" s="36">
        <v>0</v>
      </c>
      <c r="R26" s="37">
        <v>2</v>
      </c>
      <c r="S26" s="21">
        <v>0</v>
      </c>
      <c r="T26" s="39">
        <v>3</v>
      </c>
      <c r="U26" s="38">
        <v>0</v>
      </c>
      <c r="V26" s="39">
        <v>0</v>
      </c>
      <c r="W26" s="36">
        <v>0</v>
      </c>
      <c r="X26" s="37">
        <v>3</v>
      </c>
      <c r="Y26" s="38">
        <v>0</v>
      </c>
      <c r="Z26" s="39">
        <v>4</v>
      </c>
    </row>
    <row r="27" s="5" customFormat="1" ht="16.5" customHeight="1">
      <c r="A27" s="5" t="s">
        <v>28</v>
      </c>
    </row>
    <row r="28" s="2" customFormat="1" ht="16.5" customHeight="1">
      <c r="A28" s="5" t="s">
        <v>34</v>
      </c>
    </row>
    <row r="29" s="5" customFormat="1" ht="16.5" customHeight="1">
      <c r="A29" s="5" t="s">
        <v>30</v>
      </c>
    </row>
    <row r="30" s="5" customFormat="1" ht="16.5" customHeight="1">
      <c r="B30" s="5" t="s">
        <v>31</v>
      </c>
    </row>
    <row r="31" s="5" customFormat="1" ht="16.5" customHeight="1">
      <c r="B31" s="5" t="s">
        <v>32</v>
      </c>
    </row>
    <row r="32" s="5" customFormat="1" ht="16.5" customHeight="1">
      <c r="B32" s="5" t="s">
        <v>33</v>
      </c>
    </row>
    <row r="33" s="5" customFormat="1" ht="16.5" customHeight="1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</sheetData>
  <sheetProtection/>
  <mergeCells count="13"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W4:X4"/>
    <mergeCell ref="Y4:Z4"/>
    <mergeCell ref="U4:V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64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 thickBot="1">
      <c r="A13" s="47" t="s">
        <v>47</v>
      </c>
      <c r="B13" s="48" t="s">
        <v>1</v>
      </c>
      <c r="C13" s="49">
        <f aca="true" t="shared" si="0" ref="C13:Z13">SUM(C14:C25)</f>
        <v>6</v>
      </c>
      <c r="D13" s="50">
        <f t="shared" si="0"/>
        <v>470</v>
      </c>
      <c r="E13" s="51">
        <f>SUM(E14:E25)</f>
        <v>0</v>
      </c>
      <c r="F13" s="40">
        <f>SUM(F14:F25)</f>
        <v>117</v>
      </c>
      <c r="G13" s="49">
        <f t="shared" si="0"/>
        <v>0</v>
      </c>
      <c r="H13" s="50">
        <f t="shared" si="0"/>
        <v>0</v>
      </c>
      <c r="I13" s="49">
        <f t="shared" si="0"/>
        <v>0</v>
      </c>
      <c r="J13" s="50">
        <f t="shared" si="0"/>
        <v>1</v>
      </c>
      <c r="K13" s="49">
        <f t="shared" si="0"/>
        <v>2</v>
      </c>
      <c r="L13" s="50">
        <f t="shared" si="0"/>
        <v>65</v>
      </c>
      <c r="M13" s="49">
        <f t="shared" si="0"/>
        <v>1</v>
      </c>
      <c r="N13" s="50">
        <f t="shared" si="0"/>
        <v>52</v>
      </c>
      <c r="O13" s="49">
        <f t="shared" si="0"/>
        <v>1</v>
      </c>
      <c r="P13" s="50">
        <f t="shared" si="0"/>
        <v>12</v>
      </c>
      <c r="Q13" s="49">
        <f t="shared" si="0"/>
        <v>1</v>
      </c>
      <c r="R13" s="50">
        <f t="shared" si="0"/>
        <v>73</v>
      </c>
      <c r="S13" s="49">
        <f t="shared" si="0"/>
        <v>1</v>
      </c>
      <c r="T13" s="50">
        <f t="shared" si="0"/>
        <v>33</v>
      </c>
      <c r="U13" s="49">
        <f t="shared" si="0"/>
        <v>0</v>
      </c>
      <c r="V13" s="40">
        <f t="shared" si="0"/>
        <v>11</v>
      </c>
      <c r="W13" s="49">
        <f t="shared" si="0"/>
        <v>0</v>
      </c>
      <c r="X13" s="50">
        <f t="shared" si="0"/>
        <v>15</v>
      </c>
      <c r="Y13" s="49">
        <f t="shared" si="0"/>
        <v>0</v>
      </c>
      <c r="Z13" s="40">
        <f t="shared" si="0"/>
        <v>91</v>
      </c>
    </row>
    <row r="14" spans="1:26" s="5" customFormat="1" ht="16.5" customHeight="1" thickTop="1">
      <c r="A14" s="15" t="s">
        <v>47</v>
      </c>
      <c r="B14" s="16" t="s">
        <v>2</v>
      </c>
      <c r="C14" s="20">
        <f aca="true" t="shared" si="1" ref="C14:C25">SUM(E14,G14,I14,K14,M14,O14,Q14,S14,U14,W14,Y14)</f>
        <v>1</v>
      </c>
      <c r="D14" s="30">
        <f aca="true" t="shared" si="2" ref="D14:D25">SUM(F14,H14,J14,L14,N14,P14,R14,T14,V14,X14,Z14)</f>
        <v>52</v>
      </c>
      <c r="E14" s="45">
        <v>0</v>
      </c>
      <c r="F14" s="32">
        <v>13</v>
      </c>
      <c r="G14" s="33">
        <v>0</v>
      </c>
      <c r="H14" s="30">
        <v>0</v>
      </c>
      <c r="I14" s="31">
        <v>0</v>
      </c>
      <c r="J14" s="32">
        <v>0</v>
      </c>
      <c r="K14" s="33">
        <v>1</v>
      </c>
      <c r="L14" s="30">
        <v>1</v>
      </c>
      <c r="M14" s="31">
        <v>0</v>
      </c>
      <c r="N14" s="32">
        <v>9</v>
      </c>
      <c r="O14" s="33">
        <v>0</v>
      </c>
      <c r="P14" s="30">
        <v>2</v>
      </c>
      <c r="Q14" s="31">
        <v>0</v>
      </c>
      <c r="R14" s="32">
        <v>6</v>
      </c>
      <c r="S14" s="20">
        <v>0</v>
      </c>
      <c r="T14" s="34">
        <v>5</v>
      </c>
      <c r="U14" s="33">
        <v>0</v>
      </c>
      <c r="V14" s="34">
        <v>1</v>
      </c>
      <c r="W14" s="31">
        <v>0</v>
      </c>
      <c r="X14" s="32">
        <v>2</v>
      </c>
      <c r="Y14" s="33">
        <v>0</v>
      </c>
      <c r="Z14" s="34">
        <v>13</v>
      </c>
    </row>
    <row r="15" spans="1:26" s="5" customFormat="1" ht="16.5" customHeight="1">
      <c r="A15" s="8"/>
      <c r="B15" s="9" t="s">
        <v>3</v>
      </c>
      <c r="C15" s="19">
        <f t="shared" si="1"/>
        <v>1</v>
      </c>
      <c r="D15" s="25">
        <f t="shared" si="2"/>
        <v>36</v>
      </c>
      <c r="E15" s="43">
        <v>0</v>
      </c>
      <c r="F15" s="27">
        <v>6</v>
      </c>
      <c r="G15" s="28">
        <v>0</v>
      </c>
      <c r="H15" s="25">
        <v>0</v>
      </c>
      <c r="I15" s="26">
        <v>0</v>
      </c>
      <c r="J15" s="27">
        <v>0</v>
      </c>
      <c r="K15" s="28">
        <v>1</v>
      </c>
      <c r="L15" s="25">
        <v>1</v>
      </c>
      <c r="M15" s="26">
        <v>0</v>
      </c>
      <c r="N15" s="27">
        <v>6</v>
      </c>
      <c r="O15" s="28">
        <v>0</v>
      </c>
      <c r="P15" s="25">
        <v>0</v>
      </c>
      <c r="Q15" s="26">
        <v>0</v>
      </c>
      <c r="R15" s="27">
        <v>7</v>
      </c>
      <c r="S15" s="19">
        <v>0</v>
      </c>
      <c r="T15" s="29">
        <v>3</v>
      </c>
      <c r="U15" s="28">
        <v>0</v>
      </c>
      <c r="V15" s="29">
        <v>0</v>
      </c>
      <c r="W15" s="26">
        <v>0</v>
      </c>
      <c r="X15" s="27">
        <v>2</v>
      </c>
      <c r="Y15" s="28">
        <v>0</v>
      </c>
      <c r="Z15" s="29">
        <v>11</v>
      </c>
    </row>
    <row r="16" spans="1:26" s="5" customFormat="1" ht="16.5" customHeight="1">
      <c r="A16" s="8"/>
      <c r="B16" s="9" t="s">
        <v>4</v>
      </c>
      <c r="C16" s="19">
        <f t="shared" si="1"/>
        <v>0</v>
      </c>
      <c r="D16" s="25">
        <f t="shared" si="2"/>
        <v>31</v>
      </c>
      <c r="E16" s="43">
        <v>0</v>
      </c>
      <c r="F16" s="27">
        <v>9</v>
      </c>
      <c r="G16" s="28">
        <v>0</v>
      </c>
      <c r="H16" s="25">
        <v>0</v>
      </c>
      <c r="I16" s="26">
        <v>0</v>
      </c>
      <c r="J16" s="27">
        <v>0</v>
      </c>
      <c r="K16" s="28">
        <v>0</v>
      </c>
      <c r="L16" s="25">
        <v>3</v>
      </c>
      <c r="M16" s="26">
        <v>0</v>
      </c>
      <c r="N16" s="27">
        <v>1</v>
      </c>
      <c r="O16" s="28">
        <v>0</v>
      </c>
      <c r="P16" s="25">
        <v>0</v>
      </c>
      <c r="Q16" s="26">
        <v>0</v>
      </c>
      <c r="R16" s="27">
        <v>7</v>
      </c>
      <c r="S16" s="19">
        <v>0</v>
      </c>
      <c r="T16" s="29">
        <v>3</v>
      </c>
      <c r="U16" s="28">
        <v>0</v>
      </c>
      <c r="V16" s="29">
        <v>1</v>
      </c>
      <c r="W16" s="26">
        <v>0</v>
      </c>
      <c r="X16" s="27">
        <v>2</v>
      </c>
      <c r="Y16" s="28">
        <v>0</v>
      </c>
      <c r="Z16" s="29">
        <v>5</v>
      </c>
    </row>
    <row r="17" spans="1:26" s="5" customFormat="1" ht="16.5" customHeight="1">
      <c r="A17" s="8"/>
      <c r="B17" s="9" t="s">
        <v>5</v>
      </c>
      <c r="C17" s="19">
        <f t="shared" si="1"/>
        <v>0</v>
      </c>
      <c r="D17" s="25">
        <f t="shared" si="2"/>
        <v>26</v>
      </c>
      <c r="E17" s="43">
        <v>0</v>
      </c>
      <c r="F17" s="27">
        <v>8</v>
      </c>
      <c r="G17" s="28">
        <v>0</v>
      </c>
      <c r="H17" s="25">
        <v>0</v>
      </c>
      <c r="I17" s="26">
        <v>0</v>
      </c>
      <c r="J17" s="27">
        <v>1</v>
      </c>
      <c r="K17" s="28">
        <v>0</v>
      </c>
      <c r="L17" s="25">
        <v>4</v>
      </c>
      <c r="M17" s="26">
        <v>0</v>
      </c>
      <c r="N17" s="27">
        <v>2</v>
      </c>
      <c r="O17" s="28">
        <v>0</v>
      </c>
      <c r="P17" s="25">
        <v>0</v>
      </c>
      <c r="Q17" s="26">
        <v>0</v>
      </c>
      <c r="R17" s="27">
        <v>4</v>
      </c>
      <c r="S17" s="19">
        <v>0</v>
      </c>
      <c r="T17" s="29">
        <v>2</v>
      </c>
      <c r="U17" s="28">
        <v>0</v>
      </c>
      <c r="V17" s="29">
        <v>1</v>
      </c>
      <c r="W17" s="26">
        <v>0</v>
      </c>
      <c r="X17" s="27">
        <v>2</v>
      </c>
      <c r="Y17" s="28">
        <v>0</v>
      </c>
      <c r="Z17" s="29">
        <v>2</v>
      </c>
    </row>
    <row r="18" spans="1:26" s="5" customFormat="1" ht="16.5" customHeight="1">
      <c r="A18" s="8"/>
      <c r="B18" s="9" t="s">
        <v>6</v>
      </c>
      <c r="C18" s="19">
        <f t="shared" si="1"/>
        <v>0</v>
      </c>
      <c r="D18" s="25">
        <f t="shared" si="2"/>
        <v>33</v>
      </c>
      <c r="E18" s="43">
        <v>0</v>
      </c>
      <c r="F18" s="27">
        <v>7</v>
      </c>
      <c r="G18" s="28">
        <v>0</v>
      </c>
      <c r="H18" s="25">
        <v>0</v>
      </c>
      <c r="I18" s="26">
        <v>0</v>
      </c>
      <c r="J18" s="27">
        <v>0</v>
      </c>
      <c r="K18" s="28">
        <v>0</v>
      </c>
      <c r="L18" s="25">
        <v>6</v>
      </c>
      <c r="M18" s="26">
        <v>0</v>
      </c>
      <c r="N18" s="27">
        <v>5</v>
      </c>
      <c r="O18" s="28">
        <v>0</v>
      </c>
      <c r="P18" s="25">
        <v>0</v>
      </c>
      <c r="Q18" s="26">
        <v>0</v>
      </c>
      <c r="R18" s="27">
        <v>2</v>
      </c>
      <c r="S18" s="19">
        <v>0</v>
      </c>
      <c r="T18" s="29">
        <v>0</v>
      </c>
      <c r="U18" s="28">
        <v>0</v>
      </c>
      <c r="V18" s="29">
        <v>2</v>
      </c>
      <c r="W18" s="26">
        <v>0</v>
      </c>
      <c r="X18" s="27">
        <v>2</v>
      </c>
      <c r="Y18" s="28">
        <v>0</v>
      </c>
      <c r="Z18" s="29">
        <v>9</v>
      </c>
    </row>
    <row r="19" spans="1:26" s="61" customFormat="1" ht="16.5" customHeight="1">
      <c r="A19" s="52"/>
      <c r="B19" s="53" t="s">
        <v>7</v>
      </c>
      <c r="C19" s="54">
        <f t="shared" si="1"/>
        <v>0</v>
      </c>
      <c r="D19" s="55">
        <f t="shared" si="2"/>
        <v>34</v>
      </c>
      <c r="E19" s="56">
        <v>0</v>
      </c>
      <c r="F19" s="57">
        <v>9</v>
      </c>
      <c r="G19" s="58">
        <v>0</v>
      </c>
      <c r="H19" s="55">
        <v>0</v>
      </c>
      <c r="I19" s="59">
        <v>0</v>
      </c>
      <c r="J19" s="57">
        <v>0</v>
      </c>
      <c r="K19" s="58">
        <v>0</v>
      </c>
      <c r="L19" s="55">
        <v>3</v>
      </c>
      <c r="M19" s="59">
        <v>0</v>
      </c>
      <c r="N19" s="57">
        <v>5</v>
      </c>
      <c r="O19" s="58">
        <v>0</v>
      </c>
      <c r="P19" s="55">
        <v>2</v>
      </c>
      <c r="Q19" s="59">
        <v>0</v>
      </c>
      <c r="R19" s="57">
        <v>5</v>
      </c>
      <c r="S19" s="54">
        <v>0</v>
      </c>
      <c r="T19" s="60">
        <v>2</v>
      </c>
      <c r="U19" s="58">
        <v>0</v>
      </c>
      <c r="V19" s="60">
        <v>1</v>
      </c>
      <c r="W19" s="59">
        <v>0</v>
      </c>
      <c r="X19" s="57">
        <v>0</v>
      </c>
      <c r="Y19" s="58">
        <v>0</v>
      </c>
      <c r="Z19" s="60">
        <v>7</v>
      </c>
    </row>
    <row r="20" spans="1:26" s="61" customFormat="1" ht="16.5" customHeight="1">
      <c r="A20" s="52"/>
      <c r="B20" s="53" t="s">
        <v>8</v>
      </c>
      <c r="C20" s="54">
        <f t="shared" si="1"/>
        <v>1</v>
      </c>
      <c r="D20" s="55">
        <f t="shared" si="2"/>
        <v>34</v>
      </c>
      <c r="E20" s="56">
        <v>0</v>
      </c>
      <c r="F20" s="57">
        <v>9</v>
      </c>
      <c r="G20" s="58">
        <v>0</v>
      </c>
      <c r="H20" s="55">
        <v>0</v>
      </c>
      <c r="I20" s="59">
        <v>0</v>
      </c>
      <c r="J20" s="57">
        <v>0</v>
      </c>
      <c r="K20" s="58">
        <v>0</v>
      </c>
      <c r="L20" s="55">
        <v>7</v>
      </c>
      <c r="M20" s="59">
        <v>1</v>
      </c>
      <c r="N20" s="57">
        <v>1</v>
      </c>
      <c r="O20" s="58">
        <v>0</v>
      </c>
      <c r="P20" s="55">
        <v>2</v>
      </c>
      <c r="Q20" s="59">
        <v>0</v>
      </c>
      <c r="R20" s="57">
        <v>8</v>
      </c>
      <c r="S20" s="54">
        <v>0</v>
      </c>
      <c r="T20" s="60">
        <v>3</v>
      </c>
      <c r="U20" s="58">
        <v>0</v>
      </c>
      <c r="V20" s="60">
        <v>0</v>
      </c>
      <c r="W20" s="59">
        <v>0</v>
      </c>
      <c r="X20" s="57">
        <v>1</v>
      </c>
      <c r="Y20" s="58">
        <v>0</v>
      </c>
      <c r="Z20" s="60">
        <v>3</v>
      </c>
    </row>
    <row r="21" spans="1:26" s="5" customFormat="1" ht="16.5" customHeight="1">
      <c r="A21" s="8"/>
      <c r="B21" s="9" t="s">
        <v>9</v>
      </c>
      <c r="C21" s="19">
        <f t="shared" si="1"/>
        <v>0</v>
      </c>
      <c r="D21" s="25">
        <f t="shared" si="2"/>
        <v>39</v>
      </c>
      <c r="E21" s="43">
        <v>0</v>
      </c>
      <c r="F21" s="27">
        <v>13</v>
      </c>
      <c r="G21" s="28">
        <v>0</v>
      </c>
      <c r="H21" s="25">
        <v>0</v>
      </c>
      <c r="I21" s="26">
        <v>0</v>
      </c>
      <c r="J21" s="27">
        <v>0</v>
      </c>
      <c r="K21" s="28">
        <v>0</v>
      </c>
      <c r="L21" s="25">
        <v>4</v>
      </c>
      <c r="M21" s="26">
        <v>0</v>
      </c>
      <c r="N21" s="27">
        <v>6</v>
      </c>
      <c r="O21" s="28">
        <v>0</v>
      </c>
      <c r="P21" s="25">
        <v>3</v>
      </c>
      <c r="Q21" s="26">
        <v>0</v>
      </c>
      <c r="R21" s="27">
        <v>2</v>
      </c>
      <c r="S21" s="19">
        <v>0</v>
      </c>
      <c r="T21" s="29">
        <v>1</v>
      </c>
      <c r="U21" s="28">
        <v>0</v>
      </c>
      <c r="V21" s="29">
        <v>0</v>
      </c>
      <c r="W21" s="26">
        <v>0</v>
      </c>
      <c r="X21" s="27">
        <v>1</v>
      </c>
      <c r="Y21" s="28">
        <v>0</v>
      </c>
      <c r="Z21" s="29">
        <v>9</v>
      </c>
    </row>
    <row r="22" spans="1:26" s="5" customFormat="1" ht="16.5" customHeight="1">
      <c r="A22" s="8"/>
      <c r="B22" s="9" t="s">
        <v>10</v>
      </c>
      <c r="C22" s="19">
        <f t="shared" si="1"/>
        <v>1</v>
      </c>
      <c r="D22" s="25">
        <f t="shared" si="2"/>
        <v>41</v>
      </c>
      <c r="E22" s="43">
        <v>0</v>
      </c>
      <c r="F22" s="27">
        <v>12</v>
      </c>
      <c r="G22" s="28">
        <v>0</v>
      </c>
      <c r="H22" s="25">
        <v>0</v>
      </c>
      <c r="I22" s="26">
        <v>0</v>
      </c>
      <c r="J22" s="27">
        <v>0</v>
      </c>
      <c r="K22" s="28">
        <v>0</v>
      </c>
      <c r="L22" s="25">
        <v>6</v>
      </c>
      <c r="M22" s="26">
        <v>0</v>
      </c>
      <c r="N22" s="27">
        <v>4</v>
      </c>
      <c r="O22" s="28">
        <v>1</v>
      </c>
      <c r="P22" s="25">
        <v>1</v>
      </c>
      <c r="Q22" s="26">
        <v>0</v>
      </c>
      <c r="R22" s="27">
        <v>8</v>
      </c>
      <c r="S22" s="19">
        <v>0</v>
      </c>
      <c r="T22" s="29">
        <v>2</v>
      </c>
      <c r="U22" s="28">
        <v>0</v>
      </c>
      <c r="V22" s="29">
        <v>1</v>
      </c>
      <c r="W22" s="26">
        <v>0</v>
      </c>
      <c r="X22" s="27">
        <v>0</v>
      </c>
      <c r="Y22" s="28">
        <v>0</v>
      </c>
      <c r="Z22" s="29">
        <v>7</v>
      </c>
    </row>
    <row r="23" spans="1:26" s="5" customFormat="1" ht="16.5" customHeight="1">
      <c r="A23" s="8"/>
      <c r="B23" s="9" t="s">
        <v>11</v>
      </c>
      <c r="C23" s="19">
        <f t="shared" si="1"/>
        <v>1</v>
      </c>
      <c r="D23" s="25">
        <f t="shared" si="2"/>
        <v>49</v>
      </c>
      <c r="E23" s="43">
        <v>0</v>
      </c>
      <c r="F23" s="27">
        <v>13</v>
      </c>
      <c r="G23" s="28">
        <v>0</v>
      </c>
      <c r="H23" s="25">
        <v>0</v>
      </c>
      <c r="I23" s="26">
        <v>0</v>
      </c>
      <c r="J23" s="27">
        <v>0</v>
      </c>
      <c r="K23" s="28">
        <v>0</v>
      </c>
      <c r="L23" s="25">
        <v>12</v>
      </c>
      <c r="M23" s="26">
        <v>0</v>
      </c>
      <c r="N23" s="27">
        <v>4</v>
      </c>
      <c r="O23" s="28">
        <v>0</v>
      </c>
      <c r="P23" s="25">
        <v>2</v>
      </c>
      <c r="Q23" s="26">
        <v>1</v>
      </c>
      <c r="R23" s="27">
        <v>7</v>
      </c>
      <c r="S23" s="19">
        <v>0</v>
      </c>
      <c r="T23" s="29">
        <v>1</v>
      </c>
      <c r="U23" s="28">
        <v>0</v>
      </c>
      <c r="V23" s="29">
        <v>1</v>
      </c>
      <c r="W23" s="26">
        <v>0</v>
      </c>
      <c r="X23" s="27">
        <v>1</v>
      </c>
      <c r="Y23" s="28">
        <v>0</v>
      </c>
      <c r="Z23" s="29">
        <v>8</v>
      </c>
    </row>
    <row r="24" spans="1:26" s="5" customFormat="1" ht="16.5" customHeight="1">
      <c r="A24" s="8"/>
      <c r="B24" s="9" t="s">
        <v>12</v>
      </c>
      <c r="C24" s="19">
        <f t="shared" si="1"/>
        <v>0</v>
      </c>
      <c r="D24" s="25">
        <f t="shared" si="2"/>
        <v>49</v>
      </c>
      <c r="E24" s="43">
        <v>0</v>
      </c>
      <c r="F24" s="27">
        <v>10</v>
      </c>
      <c r="G24" s="28">
        <v>0</v>
      </c>
      <c r="H24" s="25">
        <v>0</v>
      </c>
      <c r="I24" s="26">
        <v>0</v>
      </c>
      <c r="J24" s="27">
        <v>0</v>
      </c>
      <c r="K24" s="28">
        <v>0</v>
      </c>
      <c r="L24" s="25">
        <v>8</v>
      </c>
      <c r="M24" s="26">
        <v>0</v>
      </c>
      <c r="N24" s="27">
        <v>6</v>
      </c>
      <c r="O24" s="28">
        <v>0</v>
      </c>
      <c r="P24" s="25">
        <v>0</v>
      </c>
      <c r="Q24" s="26">
        <v>0</v>
      </c>
      <c r="R24" s="27">
        <v>13</v>
      </c>
      <c r="S24" s="19">
        <v>0</v>
      </c>
      <c r="T24" s="29">
        <v>3</v>
      </c>
      <c r="U24" s="28">
        <v>0</v>
      </c>
      <c r="V24" s="29">
        <v>1</v>
      </c>
      <c r="W24" s="26">
        <v>0</v>
      </c>
      <c r="X24" s="27">
        <v>1</v>
      </c>
      <c r="Y24" s="28">
        <v>0</v>
      </c>
      <c r="Z24" s="29">
        <v>7</v>
      </c>
    </row>
    <row r="25" spans="1:26" s="5" customFormat="1" ht="16.5" customHeight="1">
      <c r="A25" s="10"/>
      <c r="B25" s="11" t="s">
        <v>13</v>
      </c>
      <c r="C25" s="21">
        <f t="shared" si="1"/>
        <v>1</v>
      </c>
      <c r="D25" s="35">
        <f t="shared" si="2"/>
        <v>46</v>
      </c>
      <c r="E25" s="46">
        <v>0</v>
      </c>
      <c r="F25" s="37">
        <v>8</v>
      </c>
      <c r="G25" s="38">
        <v>0</v>
      </c>
      <c r="H25" s="35">
        <v>0</v>
      </c>
      <c r="I25" s="36">
        <v>0</v>
      </c>
      <c r="J25" s="37">
        <v>0</v>
      </c>
      <c r="K25" s="38">
        <v>0</v>
      </c>
      <c r="L25" s="35">
        <v>10</v>
      </c>
      <c r="M25" s="36">
        <v>0</v>
      </c>
      <c r="N25" s="37">
        <v>3</v>
      </c>
      <c r="O25" s="38">
        <v>0</v>
      </c>
      <c r="P25" s="35">
        <v>0</v>
      </c>
      <c r="Q25" s="36">
        <v>0</v>
      </c>
      <c r="R25" s="37">
        <v>4</v>
      </c>
      <c r="S25" s="21">
        <v>1</v>
      </c>
      <c r="T25" s="39">
        <v>8</v>
      </c>
      <c r="U25" s="38">
        <v>0</v>
      </c>
      <c r="V25" s="39">
        <v>2</v>
      </c>
      <c r="W25" s="36">
        <v>0</v>
      </c>
      <c r="X25" s="37">
        <v>1</v>
      </c>
      <c r="Y25" s="38">
        <v>0</v>
      </c>
      <c r="Z25" s="39">
        <v>10</v>
      </c>
    </row>
    <row r="26" s="5" customFormat="1" ht="16.5" customHeight="1">
      <c r="A26" s="5" t="s">
        <v>28</v>
      </c>
    </row>
    <row r="27" s="2" customFormat="1" ht="16.5" customHeight="1">
      <c r="A27" s="5" t="s">
        <v>34</v>
      </c>
    </row>
    <row r="28" s="5" customFormat="1" ht="16.5" customHeight="1">
      <c r="A28" s="5" t="s">
        <v>30</v>
      </c>
    </row>
    <row r="29" s="5" customFormat="1" ht="16.5" customHeight="1">
      <c r="B29" s="5" t="s">
        <v>31</v>
      </c>
    </row>
    <row r="30" s="5" customFormat="1" ht="16.5" customHeight="1">
      <c r="B30" s="5" t="s">
        <v>32</v>
      </c>
    </row>
    <row r="31" s="5" customFormat="1" ht="16.5" customHeight="1">
      <c r="B31" s="5" t="s">
        <v>33</v>
      </c>
    </row>
    <row r="32" s="5" customFormat="1" ht="16.5" customHeight="1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</sheetData>
  <sheetProtection/>
  <mergeCells count="13">
    <mergeCell ref="W4:X4"/>
    <mergeCell ref="Y4:Z4"/>
    <mergeCell ref="U4:V4"/>
    <mergeCell ref="I4:J4"/>
    <mergeCell ref="K4:L4"/>
    <mergeCell ref="M4:N4"/>
    <mergeCell ref="O4:P4"/>
    <mergeCell ref="A4:B5"/>
    <mergeCell ref="C4:D4"/>
    <mergeCell ref="E4:F4"/>
    <mergeCell ref="G4:H4"/>
    <mergeCell ref="Q4:R4"/>
    <mergeCell ref="S4:T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65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 thickBot="1">
      <c r="A12" s="47" t="s">
        <v>46</v>
      </c>
      <c r="B12" s="48" t="s">
        <v>1</v>
      </c>
      <c r="C12" s="49">
        <f aca="true" t="shared" si="0" ref="C12:Z12">SUM(C13:C24)</f>
        <v>3</v>
      </c>
      <c r="D12" s="50">
        <f t="shared" si="0"/>
        <v>513</v>
      </c>
      <c r="E12" s="51">
        <f t="shared" si="0"/>
        <v>2</v>
      </c>
      <c r="F12" s="40">
        <f t="shared" si="0"/>
        <v>130</v>
      </c>
      <c r="G12" s="49">
        <f t="shared" si="0"/>
        <v>0</v>
      </c>
      <c r="H12" s="50">
        <f t="shared" si="0"/>
        <v>0</v>
      </c>
      <c r="I12" s="49">
        <f t="shared" si="0"/>
        <v>0</v>
      </c>
      <c r="J12" s="50">
        <f t="shared" si="0"/>
        <v>2</v>
      </c>
      <c r="K12" s="49">
        <f t="shared" si="0"/>
        <v>0</v>
      </c>
      <c r="L12" s="50">
        <f t="shared" si="0"/>
        <v>71</v>
      </c>
      <c r="M12" s="49">
        <f t="shared" si="0"/>
        <v>1</v>
      </c>
      <c r="N12" s="50">
        <f t="shared" si="0"/>
        <v>74</v>
      </c>
      <c r="O12" s="49">
        <f t="shared" si="0"/>
        <v>0</v>
      </c>
      <c r="P12" s="50">
        <f t="shared" si="0"/>
        <v>10</v>
      </c>
      <c r="Q12" s="49">
        <f t="shared" si="0"/>
        <v>0</v>
      </c>
      <c r="R12" s="50">
        <f t="shared" si="0"/>
        <v>64</v>
      </c>
      <c r="S12" s="49">
        <f t="shared" si="0"/>
        <v>0</v>
      </c>
      <c r="T12" s="50">
        <f t="shared" si="0"/>
        <v>38</v>
      </c>
      <c r="U12" s="49">
        <f t="shared" si="0"/>
        <v>0</v>
      </c>
      <c r="V12" s="40">
        <f t="shared" si="0"/>
        <v>28</v>
      </c>
      <c r="W12" s="49">
        <f t="shared" si="0"/>
        <v>0</v>
      </c>
      <c r="X12" s="50">
        <f t="shared" si="0"/>
        <v>19</v>
      </c>
      <c r="Y12" s="49">
        <f t="shared" si="0"/>
        <v>0</v>
      </c>
      <c r="Z12" s="40">
        <f t="shared" si="0"/>
        <v>77</v>
      </c>
    </row>
    <row r="13" spans="1:26" s="5" customFormat="1" ht="16.5" customHeight="1" thickTop="1">
      <c r="A13" s="15" t="s">
        <v>46</v>
      </c>
      <c r="B13" s="16" t="s">
        <v>2</v>
      </c>
      <c r="C13" s="20">
        <f aca="true" t="shared" si="1" ref="C13:C24">SUM(E13,G13,I13,K13,M13,O13,Q13,S13,U13,W13,Y13)</f>
        <v>0</v>
      </c>
      <c r="D13" s="30">
        <f aca="true" t="shared" si="2" ref="D13:D24">SUM(F13,H13,J13,L13,N13,P13,R13,T13,V13,X13,Z13)</f>
        <v>40</v>
      </c>
      <c r="E13" s="45">
        <v>0</v>
      </c>
      <c r="F13" s="32">
        <v>9</v>
      </c>
      <c r="G13" s="33">
        <v>0</v>
      </c>
      <c r="H13" s="30">
        <v>0</v>
      </c>
      <c r="I13" s="31">
        <v>0</v>
      </c>
      <c r="J13" s="32">
        <v>0</v>
      </c>
      <c r="K13" s="33">
        <v>0</v>
      </c>
      <c r="L13" s="30">
        <v>3</v>
      </c>
      <c r="M13" s="31">
        <v>0</v>
      </c>
      <c r="N13" s="32">
        <v>7</v>
      </c>
      <c r="O13" s="33">
        <v>0</v>
      </c>
      <c r="P13" s="30">
        <v>1</v>
      </c>
      <c r="Q13" s="31">
        <v>0</v>
      </c>
      <c r="R13" s="32">
        <v>7</v>
      </c>
      <c r="S13" s="20">
        <v>0</v>
      </c>
      <c r="T13" s="34">
        <v>3</v>
      </c>
      <c r="U13" s="33">
        <v>0</v>
      </c>
      <c r="V13" s="34">
        <v>2</v>
      </c>
      <c r="W13" s="31">
        <v>0</v>
      </c>
      <c r="X13" s="32">
        <v>2</v>
      </c>
      <c r="Y13" s="33">
        <v>0</v>
      </c>
      <c r="Z13" s="34">
        <v>6</v>
      </c>
    </row>
    <row r="14" spans="1:26" s="5" customFormat="1" ht="16.5" customHeight="1">
      <c r="A14" s="8"/>
      <c r="B14" s="9" t="s">
        <v>3</v>
      </c>
      <c r="C14" s="19">
        <f t="shared" si="1"/>
        <v>0</v>
      </c>
      <c r="D14" s="25">
        <f t="shared" si="2"/>
        <v>32</v>
      </c>
      <c r="E14" s="43">
        <v>0</v>
      </c>
      <c r="F14" s="27">
        <v>11</v>
      </c>
      <c r="G14" s="28">
        <v>0</v>
      </c>
      <c r="H14" s="25">
        <v>0</v>
      </c>
      <c r="I14" s="26">
        <v>0</v>
      </c>
      <c r="J14" s="27">
        <v>2</v>
      </c>
      <c r="K14" s="28">
        <v>0</v>
      </c>
      <c r="L14" s="25">
        <v>0</v>
      </c>
      <c r="M14" s="26">
        <v>0</v>
      </c>
      <c r="N14" s="27">
        <v>5</v>
      </c>
      <c r="O14" s="28">
        <v>0</v>
      </c>
      <c r="P14" s="25">
        <v>0</v>
      </c>
      <c r="Q14" s="26">
        <v>0</v>
      </c>
      <c r="R14" s="27">
        <v>2</v>
      </c>
      <c r="S14" s="19">
        <v>0</v>
      </c>
      <c r="T14" s="29">
        <v>2</v>
      </c>
      <c r="U14" s="28">
        <v>0</v>
      </c>
      <c r="V14" s="29">
        <v>1</v>
      </c>
      <c r="W14" s="26">
        <v>0</v>
      </c>
      <c r="X14" s="27">
        <v>5</v>
      </c>
      <c r="Y14" s="28">
        <v>0</v>
      </c>
      <c r="Z14" s="29">
        <v>4</v>
      </c>
    </row>
    <row r="15" spans="1:26" s="5" customFormat="1" ht="16.5" customHeight="1">
      <c r="A15" s="8"/>
      <c r="B15" s="9" t="s">
        <v>4</v>
      </c>
      <c r="C15" s="19">
        <f t="shared" si="1"/>
        <v>2</v>
      </c>
      <c r="D15" s="25">
        <f t="shared" si="2"/>
        <v>32</v>
      </c>
      <c r="E15" s="43">
        <v>2</v>
      </c>
      <c r="F15" s="27">
        <v>9</v>
      </c>
      <c r="G15" s="28">
        <v>0</v>
      </c>
      <c r="H15" s="25">
        <v>0</v>
      </c>
      <c r="I15" s="26">
        <v>0</v>
      </c>
      <c r="J15" s="27">
        <v>0</v>
      </c>
      <c r="K15" s="28">
        <v>0</v>
      </c>
      <c r="L15" s="25">
        <v>4</v>
      </c>
      <c r="M15" s="26">
        <v>0</v>
      </c>
      <c r="N15" s="27">
        <v>7</v>
      </c>
      <c r="O15" s="28">
        <v>0</v>
      </c>
      <c r="P15" s="25">
        <v>0</v>
      </c>
      <c r="Q15" s="26">
        <v>0</v>
      </c>
      <c r="R15" s="27">
        <v>3</v>
      </c>
      <c r="S15" s="19">
        <v>0</v>
      </c>
      <c r="T15" s="29">
        <v>3</v>
      </c>
      <c r="U15" s="28">
        <v>0</v>
      </c>
      <c r="V15" s="29">
        <v>1</v>
      </c>
      <c r="W15" s="26">
        <v>0</v>
      </c>
      <c r="X15" s="27">
        <v>1</v>
      </c>
      <c r="Y15" s="28">
        <v>0</v>
      </c>
      <c r="Z15" s="29">
        <v>4</v>
      </c>
    </row>
    <row r="16" spans="1:26" s="5" customFormat="1" ht="16.5" customHeight="1">
      <c r="A16" s="8"/>
      <c r="B16" s="9" t="s">
        <v>5</v>
      </c>
      <c r="C16" s="19">
        <f t="shared" si="1"/>
        <v>1</v>
      </c>
      <c r="D16" s="25">
        <f t="shared" si="2"/>
        <v>33</v>
      </c>
      <c r="E16" s="43">
        <v>0</v>
      </c>
      <c r="F16" s="27">
        <v>10</v>
      </c>
      <c r="G16" s="28">
        <v>0</v>
      </c>
      <c r="H16" s="25">
        <v>0</v>
      </c>
      <c r="I16" s="26">
        <v>0</v>
      </c>
      <c r="J16" s="27">
        <v>0</v>
      </c>
      <c r="K16" s="28">
        <v>0</v>
      </c>
      <c r="L16" s="25">
        <v>1</v>
      </c>
      <c r="M16" s="26">
        <v>1</v>
      </c>
      <c r="N16" s="27">
        <v>5</v>
      </c>
      <c r="O16" s="28">
        <v>0</v>
      </c>
      <c r="P16" s="25">
        <v>1</v>
      </c>
      <c r="Q16" s="26">
        <v>0</v>
      </c>
      <c r="R16" s="27">
        <v>2</v>
      </c>
      <c r="S16" s="19">
        <v>0</v>
      </c>
      <c r="T16" s="29">
        <v>4</v>
      </c>
      <c r="U16" s="28">
        <v>0</v>
      </c>
      <c r="V16" s="29">
        <v>0</v>
      </c>
      <c r="W16" s="26">
        <v>0</v>
      </c>
      <c r="X16" s="27">
        <v>1</v>
      </c>
      <c r="Y16" s="28">
        <v>0</v>
      </c>
      <c r="Z16" s="29">
        <v>9</v>
      </c>
    </row>
    <row r="17" spans="1:26" s="5" customFormat="1" ht="16.5" customHeight="1">
      <c r="A17" s="8"/>
      <c r="B17" s="9" t="s">
        <v>6</v>
      </c>
      <c r="C17" s="19">
        <f t="shared" si="1"/>
        <v>0</v>
      </c>
      <c r="D17" s="25">
        <f t="shared" si="2"/>
        <v>33</v>
      </c>
      <c r="E17" s="43">
        <v>0</v>
      </c>
      <c r="F17" s="27">
        <v>10</v>
      </c>
      <c r="G17" s="28">
        <v>0</v>
      </c>
      <c r="H17" s="25">
        <v>0</v>
      </c>
      <c r="I17" s="26">
        <v>0</v>
      </c>
      <c r="J17" s="27">
        <v>0</v>
      </c>
      <c r="K17" s="28">
        <v>0</v>
      </c>
      <c r="L17" s="25">
        <v>4</v>
      </c>
      <c r="M17" s="26">
        <v>0</v>
      </c>
      <c r="N17" s="27">
        <v>6</v>
      </c>
      <c r="O17" s="28">
        <v>0</v>
      </c>
      <c r="P17" s="25">
        <v>1</v>
      </c>
      <c r="Q17" s="26">
        <v>0</v>
      </c>
      <c r="R17" s="27">
        <v>8</v>
      </c>
      <c r="S17" s="19">
        <v>0</v>
      </c>
      <c r="T17" s="29">
        <v>0</v>
      </c>
      <c r="U17" s="28">
        <v>0</v>
      </c>
      <c r="V17" s="29">
        <v>1</v>
      </c>
      <c r="W17" s="26">
        <v>0</v>
      </c>
      <c r="X17" s="27">
        <v>1</v>
      </c>
      <c r="Y17" s="28">
        <v>0</v>
      </c>
      <c r="Z17" s="29">
        <v>2</v>
      </c>
    </row>
    <row r="18" spans="1:26" s="5" customFormat="1" ht="16.5" customHeight="1">
      <c r="A18" s="8"/>
      <c r="B18" s="9" t="s">
        <v>7</v>
      </c>
      <c r="C18" s="19">
        <f t="shared" si="1"/>
        <v>0</v>
      </c>
      <c r="D18" s="25">
        <f t="shared" si="2"/>
        <v>48</v>
      </c>
      <c r="E18" s="43">
        <v>0</v>
      </c>
      <c r="F18" s="27">
        <v>6</v>
      </c>
      <c r="G18" s="28">
        <v>0</v>
      </c>
      <c r="H18" s="25">
        <v>0</v>
      </c>
      <c r="I18" s="26">
        <v>0</v>
      </c>
      <c r="J18" s="27">
        <v>0</v>
      </c>
      <c r="K18" s="28">
        <v>0</v>
      </c>
      <c r="L18" s="25">
        <v>7</v>
      </c>
      <c r="M18" s="26">
        <v>0</v>
      </c>
      <c r="N18" s="27">
        <v>12</v>
      </c>
      <c r="O18" s="28">
        <v>0</v>
      </c>
      <c r="P18" s="25">
        <v>0</v>
      </c>
      <c r="Q18" s="26">
        <v>0</v>
      </c>
      <c r="R18" s="27">
        <v>4</v>
      </c>
      <c r="S18" s="19">
        <v>0</v>
      </c>
      <c r="T18" s="29">
        <v>6</v>
      </c>
      <c r="U18" s="28">
        <v>0</v>
      </c>
      <c r="V18" s="29">
        <v>3</v>
      </c>
      <c r="W18" s="26">
        <v>0</v>
      </c>
      <c r="X18" s="27">
        <v>0</v>
      </c>
      <c r="Y18" s="28">
        <v>0</v>
      </c>
      <c r="Z18" s="29">
        <v>10</v>
      </c>
    </row>
    <row r="19" spans="1:26" s="5" customFormat="1" ht="16.5" customHeight="1">
      <c r="A19" s="8"/>
      <c r="B19" s="9" t="s">
        <v>8</v>
      </c>
      <c r="C19" s="19">
        <f t="shared" si="1"/>
        <v>0</v>
      </c>
      <c r="D19" s="25">
        <f t="shared" si="2"/>
        <v>30</v>
      </c>
      <c r="E19" s="43">
        <v>0</v>
      </c>
      <c r="F19" s="27">
        <v>9</v>
      </c>
      <c r="G19" s="28">
        <v>0</v>
      </c>
      <c r="H19" s="25">
        <v>0</v>
      </c>
      <c r="I19" s="26">
        <v>0</v>
      </c>
      <c r="J19" s="27">
        <v>0</v>
      </c>
      <c r="K19" s="28">
        <v>0</v>
      </c>
      <c r="L19" s="25">
        <v>4</v>
      </c>
      <c r="M19" s="26">
        <v>0</v>
      </c>
      <c r="N19" s="27">
        <v>4</v>
      </c>
      <c r="O19" s="28">
        <v>0</v>
      </c>
      <c r="P19" s="25">
        <v>0</v>
      </c>
      <c r="Q19" s="26">
        <v>0</v>
      </c>
      <c r="R19" s="27">
        <v>4</v>
      </c>
      <c r="S19" s="19">
        <v>0</v>
      </c>
      <c r="T19" s="29">
        <v>3</v>
      </c>
      <c r="U19" s="28">
        <v>0</v>
      </c>
      <c r="V19" s="29">
        <v>1</v>
      </c>
      <c r="W19" s="26">
        <v>0</v>
      </c>
      <c r="X19" s="27">
        <v>2</v>
      </c>
      <c r="Y19" s="28">
        <v>0</v>
      </c>
      <c r="Z19" s="29">
        <v>3</v>
      </c>
    </row>
    <row r="20" spans="1:26" s="5" customFormat="1" ht="16.5" customHeight="1">
      <c r="A20" s="8"/>
      <c r="B20" s="9" t="s">
        <v>9</v>
      </c>
      <c r="C20" s="19">
        <f t="shared" si="1"/>
        <v>0</v>
      </c>
      <c r="D20" s="25">
        <f t="shared" si="2"/>
        <v>49</v>
      </c>
      <c r="E20" s="43">
        <v>0</v>
      </c>
      <c r="F20" s="27">
        <v>13</v>
      </c>
      <c r="G20" s="28">
        <v>0</v>
      </c>
      <c r="H20" s="25">
        <v>0</v>
      </c>
      <c r="I20" s="26">
        <v>0</v>
      </c>
      <c r="J20" s="27">
        <v>0</v>
      </c>
      <c r="K20" s="28">
        <v>0</v>
      </c>
      <c r="L20" s="25">
        <v>4</v>
      </c>
      <c r="M20" s="26">
        <v>0</v>
      </c>
      <c r="N20" s="27">
        <v>9</v>
      </c>
      <c r="O20" s="28">
        <v>0</v>
      </c>
      <c r="P20" s="25">
        <v>1</v>
      </c>
      <c r="Q20" s="26">
        <v>0</v>
      </c>
      <c r="R20" s="27">
        <v>5</v>
      </c>
      <c r="S20" s="19">
        <v>0</v>
      </c>
      <c r="T20" s="29">
        <v>1</v>
      </c>
      <c r="U20" s="28">
        <v>0</v>
      </c>
      <c r="V20" s="29">
        <v>6</v>
      </c>
      <c r="W20" s="26">
        <v>0</v>
      </c>
      <c r="X20" s="27">
        <v>1</v>
      </c>
      <c r="Y20" s="28">
        <v>0</v>
      </c>
      <c r="Z20" s="29">
        <v>9</v>
      </c>
    </row>
    <row r="21" spans="1:26" s="5" customFormat="1" ht="16.5" customHeight="1">
      <c r="A21" s="8"/>
      <c r="B21" s="9" t="s">
        <v>10</v>
      </c>
      <c r="C21" s="19">
        <f t="shared" si="1"/>
        <v>0</v>
      </c>
      <c r="D21" s="25">
        <f t="shared" si="2"/>
        <v>63</v>
      </c>
      <c r="E21" s="43">
        <v>0</v>
      </c>
      <c r="F21" s="27">
        <v>18</v>
      </c>
      <c r="G21" s="28">
        <v>0</v>
      </c>
      <c r="H21" s="25">
        <v>0</v>
      </c>
      <c r="I21" s="26">
        <v>0</v>
      </c>
      <c r="J21" s="27">
        <v>0</v>
      </c>
      <c r="K21" s="28">
        <v>0</v>
      </c>
      <c r="L21" s="25">
        <v>10</v>
      </c>
      <c r="M21" s="26">
        <v>0</v>
      </c>
      <c r="N21" s="27">
        <v>5</v>
      </c>
      <c r="O21" s="28">
        <v>0</v>
      </c>
      <c r="P21" s="25">
        <v>2</v>
      </c>
      <c r="Q21" s="26">
        <v>0</v>
      </c>
      <c r="R21" s="27">
        <v>8</v>
      </c>
      <c r="S21" s="19">
        <v>0</v>
      </c>
      <c r="T21" s="29">
        <v>4</v>
      </c>
      <c r="U21" s="28">
        <v>0</v>
      </c>
      <c r="V21" s="29">
        <v>6</v>
      </c>
      <c r="W21" s="26">
        <v>0</v>
      </c>
      <c r="X21" s="27">
        <v>3</v>
      </c>
      <c r="Y21" s="28">
        <v>0</v>
      </c>
      <c r="Z21" s="29">
        <v>7</v>
      </c>
    </row>
    <row r="22" spans="1:26" s="5" customFormat="1" ht="16.5" customHeight="1">
      <c r="A22" s="8"/>
      <c r="B22" s="9" t="s">
        <v>11</v>
      </c>
      <c r="C22" s="19">
        <f t="shared" si="1"/>
        <v>0</v>
      </c>
      <c r="D22" s="25">
        <f t="shared" si="2"/>
        <v>57</v>
      </c>
      <c r="E22" s="43">
        <v>0</v>
      </c>
      <c r="F22" s="27">
        <v>16</v>
      </c>
      <c r="G22" s="28">
        <v>0</v>
      </c>
      <c r="H22" s="25">
        <v>0</v>
      </c>
      <c r="I22" s="26">
        <v>0</v>
      </c>
      <c r="J22" s="27">
        <v>0</v>
      </c>
      <c r="K22" s="28">
        <v>0</v>
      </c>
      <c r="L22" s="25">
        <v>11</v>
      </c>
      <c r="M22" s="26">
        <v>0</v>
      </c>
      <c r="N22" s="27">
        <v>5</v>
      </c>
      <c r="O22" s="28">
        <v>0</v>
      </c>
      <c r="P22" s="25">
        <v>3</v>
      </c>
      <c r="Q22" s="26">
        <v>0</v>
      </c>
      <c r="R22" s="27">
        <v>8</v>
      </c>
      <c r="S22" s="19">
        <v>0</v>
      </c>
      <c r="T22" s="29">
        <v>3</v>
      </c>
      <c r="U22" s="28">
        <v>0</v>
      </c>
      <c r="V22" s="29">
        <v>3</v>
      </c>
      <c r="W22" s="26">
        <v>0</v>
      </c>
      <c r="X22" s="27">
        <v>1</v>
      </c>
      <c r="Y22" s="28">
        <v>0</v>
      </c>
      <c r="Z22" s="29">
        <v>7</v>
      </c>
    </row>
    <row r="23" spans="1:26" s="5" customFormat="1" ht="16.5" customHeight="1">
      <c r="A23" s="8"/>
      <c r="B23" s="9" t="s">
        <v>12</v>
      </c>
      <c r="C23" s="19">
        <f t="shared" si="1"/>
        <v>0</v>
      </c>
      <c r="D23" s="25">
        <f t="shared" si="2"/>
        <v>53</v>
      </c>
      <c r="E23" s="43">
        <v>0</v>
      </c>
      <c r="F23" s="27">
        <v>14</v>
      </c>
      <c r="G23" s="28">
        <v>0</v>
      </c>
      <c r="H23" s="25">
        <v>0</v>
      </c>
      <c r="I23" s="26">
        <v>0</v>
      </c>
      <c r="J23" s="27">
        <v>0</v>
      </c>
      <c r="K23" s="28">
        <v>0</v>
      </c>
      <c r="L23" s="25">
        <v>13</v>
      </c>
      <c r="M23" s="26">
        <v>0</v>
      </c>
      <c r="N23" s="27">
        <v>5</v>
      </c>
      <c r="O23" s="28">
        <v>0</v>
      </c>
      <c r="P23" s="25">
        <v>1</v>
      </c>
      <c r="Q23" s="26">
        <v>0</v>
      </c>
      <c r="R23" s="27">
        <v>8</v>
      </c>
      <c r="S23" s="19">
        <v>0</v>
      </c>
      <c r="T23" s="29">
        <v>2</v>
      </c>
      <c r="U23" s="28">
        <v>0</v>
      </c>
      <c r="V23" s="29">
        <v>2</v>
      </c>
      <c r="W23" s="26">
        <v>0</v>
      </c>
      <c r="X23" s="27">
        <v>2</v>
      </c>
      <c r="Y23" s="28">
        <v>0</v>
      </c>
      <c r="Z23" s="29">
        <v>6</v>
      </c>
    </row>
    <row r="24" spans="1:26" s="5" customFormat="1" ht="16.5" customHeight="1">
      <c r="A24" s="10"/>
      <c r="B24" s="11" t="s">
        <v>13</v>
      </c>
      <c r="C24" s="21">
        <f t="shared" si="1"/>
        <v>0</v>
      </c>
      <c r="D24" s="35">
        <f t="shared" si="2"/>
        <v>43</v>
      </c>
      <c r="E24" s="46">
        <v>0</v>
      </c>
      <c r="F24" s="37">
        <v>5</v>
      </c>
      <c r="G24" s="38">
        <v>0</v>
      </c>
      <c r="H24" s="35">
        <v>0</v>
      </c>
      <c r="I24" s="36">
        <v>0</v>
      </c>
      <c r="J24" s="37">
        <v>0</v>
      </c>
      <c r="K24" s="38">
        <v>0</v>
      </c>
      <c r="L24" s="35">
        <v>10</v>
      </c>
      <c r="M24" s="36">
        <v>0</v>
      </c>
      <c r="N24" s="37">
        <v>4</v>
      </c>
      <c r="O24" s="38">
        <v>0</v>
      </c>
      <c r="P24" s="35">
        <v>0</v>
      </c>
      <c r="Q24" s="36">
        <v>0</v>
      </c>
      <c r="R24" s="37">
        <v>5</v>
      </c>
      <c r="S24" s="21">
        <v>0</v>
      </c>
      <c r="T24" s="39">
        <v>7</v>
      </c>
      <c r="U24" s="38">
        <v>0</v>
      </c>
      <c r="V24" s="39">
        <v>2</v>
      </c>
      <c r="W24" s="36">
        <v>0</v>
      </c>
      <c r="X24" s="37">
        <v>0</v>
      </c>
      <c r="Y24" s="38">
        <v>0</v>
      </c>
      <c r="Z24" s="39">
        <v>10</v>
      </c>
    </row>
    <row r="25" s="5" customFormat="1" ht="16.5" customHeight="1">
      <c r="A25" s="5" t="s">
        <v>28</v>
      </c>
    </row>
    <row r="26" s="2" customFormat="1" ht="16.5" customHeight="1">
      <c r="A26" s="5" t="s">
        <v>34</v>
      </c>
    </row>
    <row r="27" s="5" customFormat="1" ht="16.5" customHeight="1">
      <c r="A27" s="5" t="s">
        <v>30</v>
      </c>
    </row>
    <row r="28" s="5" customFormat="1" ht="16.5" customHeight="1">
      <c r="B28" s="5" t="s">
        <v>31</v>
      </c>
    </row>
    <row r="29" s="5" customFormat="1" ht="16.5" customHeight="1">
      <c r="B29" s="5" t="s">
        <v>32</v>
      </c>
    </row>
    <row r="30" s="5" customFormat="1" ht="16.5" customHeight="1">
      <c r="B30" s="5" t="s">
        <v>33</v>
      </c>
    </row>
    <row r="31" s="5" customFormat="1" ht="16.5" customHeight="1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</sheetData>
  <sheetProtection/>
  <mergeCells count="13"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W4:X4"/>
    <mergeCell ref="Y4:Z4"/>
    <mergeCell ref="U4:V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66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 thickBot="1">
      <c r="A11" s="47" t="s">
        <v>45</v>
      </c>
      <c r="B11" s="48" t="s">
        <v>1</v>
      </c>
      <c r="C11" s="49">
        <f aca="true" t="shared" si="0" ref="C11:Z11">SUM(C12:C23)</f>
        <v>11</v>
      </c>
      <c r="D11" s="50">
        <f t="shared" si="0"/>
        <v>475</v>
      </c>
      <c r="E11" s="51">
        <f t="shared" si="0"/>
        <v>0</v>
      </c>
      <c r="F11" s="40">
        <f t="shared" si="0"/>
        <v>123</v>
      </c>
      <c r="G11" s="49">
        <f t="shared" si="0"/>
        <v>0</v>
      </c>
      <c r="H11" s="50">
        <f t="shared" si="0"/>
        <v>1</v>
      </c>
      <c r="I11" s="49">
        <f t="shared" si="0"/>
        <v>0</v>
      </c>
      <c r="J11" s="50">
        <f t="shared" si="0"/>
        <v>1</v>
      </c>
      <c r="K11" s="49">
        <f t="shared" si="0"/>
        <v>2</v>
      </c>
      <c r="L11" s="50">
        <f t="shared" si="0"/>
        <v>52</v>
      </c>
      <c r="M11" s="49">
        <f t="shared" si="0"/>
        <v>3</v>
      </c>
      <c r="N11" s="50">
        <f t="shared" si="0"/>
        <v>71</v>
      </c>
      <c r="O11" s="49">
        <f t="shared" si="0"/>
        <v>1</v>
      </c>
      <c r="P11" s="50">
        <f t="shared" si="0"/>
        <v>13</v>
      </c>
      <c r="Q11" s="49">
        <f t="shared" si="0"/>
        <v>5</v>
      </c>
      <c r="R11" s="50">
        <f t="shared" si="0"/>
        <v>60</v>
      </c>
      <c r="S11" s="49">
        <f t="shared" si="0"/>
        <v>0</v>
      </c>
      <c r="T11" s="50">
        <f t="shared" si="0"/>
        <v>42</v>
      </c>
      <c r="U11" s="49">
        <f t="shared" si="0"/>
        <v>0</v>
      </c>
      <c r="V11" s="40">
        <f t="shared" si="0"/>
        <v>17</v>
      </c>
      <c r="W11" s="49">
        <f t="shared" si="0"/>
        <v>0</v>
      </c>
      <c r="X11" s="50">
        <f t="shared" si="0"/>
        <v>19</v>
      </c>
      <c r="Y11" s="49">
        <f t="shared" si="0"/>
        <v>0</v>
      </c>
      <c r="Z11" s="40">
        <f t="shared" si="0"/>
        <v>76</v>
      </c>
    </row>
    <row r="12" spans="1:26" s="5" customFormat="1" ht="16.5" customHeight="1" thickTop="1">
      <c r="A12" s="15" t="s">
        <v>45</v>
      </c>
      <c r="B12" s="16" t="s">
        <v>2</v>
      </c>
      <c r="C12" s="20">
        <f aca="true" t="shared" si="1" ref="C12:C23">SUM(E12,G12,I12,K12,M12,O12,Q12,S12,U12,W12,Y12)</f>
        <v>2</v>
      </c>
      <c r="D12" s="30">
        <f aca="true" t="shared" si="2" ref="D12:D23">SUM(F12,H12,J12,L12,N12,P12,R12,T12,V12,X12,Z12)</f>
        <v>54</v>
      </c>
      <c r="E12" s="45">
        <v>0</v>
      </c>
      <c r="F12" s="32">
        <v>16</v>
      </c>
      <c r="G12" s="33">
        <v>0</v>
      </c>
      <c r="H12" s="30">
        <v>0</v>
      </c>
      <c r="I12" s="31">
        <v>0</v>
      </c>
      <c r="J12" s="32">
        <v>0</v>
      </c>
      <c r="K12" s="33">
        <v>0</v>
      </c>
      <c r="L12" s="30">
        <v>6</v>
      </c>
      <c r="M12" s="31">
        <v>0</v>
      </c>
      <c r="N12" s="32">
        <v>8</v>
      </c>
      <c r="O12" s="33">
        <v>0</v>
      </c>
      <c r="P12" s="30">
        <v>0</v>
      </c>
      <c r="Q12" s="31">
        <v>2</v>
      </c>
      <c r="R12" s="32">
        <v>4</v>
      </c>
      <c r="S12" s="20">
        <v>0</v>
      </c>
      <c r="T12" s="34">
        <v>5</v>
      </c>
      <c r="U12" s="33">
        <v>0</v>
      </c>
      <c r="V12" s="34">
        <v>2</v>
      </c>
      <c r="W12" s="31">
        <v>0</v>
      </c>
      <c r="X12" s="32">
        <v>1</v>
      </c>
      <c r="Y12" s="33">
        <v>0</v>
      </c>
      <c r="Z12" s="34">
        <v>12</v>
      </c>
    </row>
    <row r="13" spans="1:26" s="5" customFormat="1" ht="16.5" customHeight="1">
      <c r="A13" s="8"/>
      <c r="B13" s="9" t="s">
        <v>3</v>
      </c>
      <c r="C13" s="19">
        <f t="shared" si="1"/>
        <v>2</v>
      </c>
      <c r="D13" s="25">
        <f t="shared" si="2"/>
        <v>44</v>
      </c>
      <c r="E13" s="43">
        <v>0</v>
      </c>
      <c r="F13" s="27">
        <v>10</v>
      </c>
      <c r="G13" s="28">
        <v>0</v>
      </c>
      <c r="H13" s="25">
        <v>0</v>
      </c>
      <c r="I13" s="26">
        <v>0</v>
      </c>
      <c r="J13" s="27">
        <v>0</v>
      </c>
      <c r="K13" s="28">
        <v>1</v>
      </c>
      <c r="L13" s="25">
        <v>5</v>
      </c>
      <c r="M13" s="26">
        <v>1</v>
      </c>
      <c r="N13" s="27">
        <v>7</v>
      </c>
      <c r="O13" s="28">
        <v>0</v>
      </c>
      <c r="P13" s="25">
        <v>0</v>
      </c>
      <c r="Q13" s="26">
        <v>0</v>
      </c>
      <c r="R13" s="27">
        <v>4</v>
      </c>
      <c r="S13" s="19">
        <v>0</v>
      </c>
      <c r="T13" s="29">
        <v>8</v>
      </c>
      <c r="U13" s="28">
        <v>0</v>
      </c>
      <c r="V13" s="29">
        <v>1</v>
      </c>
      <c r="W13" s="26">
        <v>0</v>
      </c>
      <c r="X13" s="27">
        <v>1</v>
      </c>
      <c r="Y13" s="28">
        <v>0</v>
      </c>
      <c r="Z13" s="29">
        <v>8</v>
      </c>
    </row>
    <row r="14" spans="1:26" s="5" customFormat="1" ht="16.5" customHeight="1">
      <c r="A14" s="8"/>
      <c r="B14" s="9" t="s">
        <v>4</v>
      </c>
      <c r="C14" s="19">
        <f t="shared" si="1"/>
        <v>1</v>
      </c>
      <c r="D14" s="25">
        <f t="shared" si="2"/>
        <v>43</v>
      </c>
      <c r="E14" s="43">
        <v>0</v>
      </c>
      <c r="F14" s="27">
        <v>15</v>
      </c>
      <c r="G14" s="28">
        <v>0</v>
      </c>
      <c r="H14" s="25">
        <v>0</v>
      </c>
      <c r="I14" s="26">
        <v>0</v>
      </c>
      <c r="J14" s="27">
        <v>1</v>
      </c>
      <c r="K14" s="28">
        <v>0</v>
      </c>
      <c r="L14" s="25">
        <v>1</v>
      </c>
      <c r="M14" s="26">
        <v>0</v>
      </c>
      <c r="N14" s="27">
        <v>10</v>
      </c>
      <c r="O14" s="28">
        <v>1</v>
      </c>
      <c r="P14" s="25">
        <v>0</v>
      </c>
      <c r="Q14" s="26">
        <v>0</v>
      </c>
      <c r="R14" s="27">
        <v>2</v>
      </c>
      <c r="S14" s="19">
        <v>0</v>
      </c>
      <c r="T14" s="29">
        <v>4</v>
      </c>
      <c r="U14" s="28">
        <v>0</v>
      </c>
      <c r="V14" s="29">
        <v>0</v>
      </c>
      <c r="W14" s="26">
        <v>0</v>
      </c>
      <c r="X14" s="27">
        <v>3</v>
      </c>
      <c r="Y14" s="28">
        <v>0</v>
      </c>
      <c r="Z14" s="29">
        <v>7</v>
      </c>
    </row>
    <row r="15" spans="1:26" s="5" customFormat="1" ht="16.5" customHeight="1">
      <c r="A15" s="8"/>
      <c r="B15" s="9" t="s">
        <v>5</v>
      </c>
      <c r="C15" s="19">
        <f t="shared" si="1"/>
        <v>1</v>
      </c>
      <c r="D15" s="25">
        <f t="shared" si="2"/>
        <v>34</v>
      </c>
      <c r="E15" s="43">
        <v>0</v>
      </c>
      <c r="F15" s="27">
        <v>7</v>
      </c>
      <c r="G15" s="28">
        <v>0</v>
      </c>
      <c r="H15" s="25">
        <v>0</v>
      </c>
      <c r="I15" s="26">
        <v>0</v>
      </c>
      <c r="J15" s="27">
        <v>0</v>
      </c>
      <c r="K15" s="28">
        <v>0</v>
      </c>
      <c r="L15" s="25">
        <v>4</v>
      </c>
      <c r="M15" s="26">
        <v>0</v>
      </c>
      <c r="N15" s="27">
        <v>1</v>
      </c>
      <c r="O15" s="28">
        <v>0</v>
      </c>
      <c r="P15" s="25">
        <v>3</v>
      </c>
      <c r="Q15" s="26">
        <v>1</v>
      </c>
      <c r="R15" s="27">
        <v>6</v>
      </c>
      <c r="S15" s="19">
        <v>0</v>
      </c>
      <c r="T15" s="29">
        <v>1</v>
      </c>
      <c r="U15" s="28">
        <v>0</v>
      </c>
      <c r="V15" s="29">
        <v>0</v>
      </c>
      <c r="W15" s="26">
        <v>0</v>
      </c>
      <c r="X15" s="27">
        <v>2</v>
      </c>
      <c r="Y15" s="28">
        <v>0</v>
      </c>
      <c r="Z15" s="29">
        <v>10</v>
      </c>
    </row>
    <row r="16" spans="1:26" s="5" customFormat="1" ht="16.5" customHeight="1">
      <c r="A16" s="8"/>
      <c r="B16" s="9" t="s">
        <v>6</v>
      </c>
      <c r="C16" s="19">
        <f t="shared" si="1"/>
        <v>0</v>
      </c>
      <c r="D16" s="25">
        <f t="shared" si="2"/>
        <v>28</v>
      </c>
      <c r="E16" s="43">
        <v>0</v>
      </c>
      <c r="F16" s="27">
        <v>6</v>
      </c>
      <c r="G16" s="28">
        <v>0</v>
      </c>
      <c r="H16" s="25">
        <v>1</v>
      </c>
      <c r="I16" s="26">
        <v>0</v>
      </c>
      <c r="J16" s="27">
        <v>0</v>
      </c>
      <c r="K16" s="28">
        <v>0</v>
      </c>
      <c r="L16" s="25">
        <v>5</v>
      </c>
      <c r="M16" s="26">
        <v>0</v>
      </c>
      <c r="N16" s="27">
        <v>5</v>
      </c>
      <c r="O16" s="28">
        <v>0</v>
      </c>
      <c r="P16" s="25">
        <v>1</v>
      </c>
      <c r="Q16" s="26">
        <v>0</v>
      </c>
      <c r="R16" s="27">
        <v>6</v>
      </c>
      <c r="S16" s="19">
        <v>0</v>
      </c>
      <c r="T16" s="29">
        <v>0</v>
      </c>
      <c r="U16" s="28">
        <v>0</v>
      </c>
      <c r="V16" s="29">
        <v>1</v>
      </c>
      <c r="W16" s="26">
        <v>0</v>
      </c>
      <c r="X16" s="27">
        <v>0</v>
      </c>
      <c r="Y16" s="28">
        <v>0</v>
      </c>
      <c r="Z16" s="29">
        <v>3</v>
      </c>
    </row>
    <row r="17" spans="1:26" s="5" customFormat="1" ht="16.5" customHeight="1">
      <c r="A17" s="8"/>
      <c r="B17" s="9" t="s">
        <v>7</v>
      </c>
      <c r="C17" s="19">
        <f t="shared" si="1"/>
        <v>1</v>
      </c>
      <c r="D17" s="25">
        <f t="shared" si="2"/>
        <v>29</v>
      </c>
      <c r="E17" s="43">
        <v>0</v>
      </c>
      <c r="F17" s="27">
        <v>6</v>
      </c>
      <c r="G17" s="28">
        <v>0</v>
      </c>
      <c r="H17" s="25">
        <v>0</v>
      </c>
      <c r="I17" s="26">
        <v>0</v>
      </c>
      <c r="J17" s="27">
        <v>0</v>
      </c>
      <c r="K17" s="28">
        <v>0</v>
      </c>
      <c r="L17" s="25">
        <v>3</v>
      </c>
      <c r="M17" s="26">
        <v>0</v>
      </c>
      <c r="N17" s="27">
        <v>7</v>
      </c>
      <c r="O17" s="28">
        <v>0</v>
      </c>
      <c r="P17" s="25">
        <v>0</v>
      </c>
      <c r="Q17" s="26">
        <v>1</v>
      </c>
      <c r="R17" s="27">
        <v>5</v>
      </c>
      <c r="S17" s="19">
        <v>0</v>
      </c>
      <c r="T17" s="29">
        <v>0</v>
      </c>
      <c r="U17" s="28">
        <v>0</v>
      </c>
      <c r="V17" s="29">
        <v>2</v>
      </c>
      <c r="W17" s="26">
        <v>0</v>
      </c>
      <c r="X17" s="27">
        <v>3</v>
      </c>
      <c r="Y17" s="28">
        <v>0</v>
      </c>
      <c r="Z17" s="29">
        <v>3</v>
      </c>
    </row>
    <row r="18" spans="1:26" s="5" customFormat="1" ht="16.5" customHeight="1">
      <c r="A18" s="8"/>
      <c r="B18" s="9" t="s">
        <v>8</v>
      </c>
      <c r="C18" s="19">
        <f t="shared" si="1"/>
        <v>0</v>
      </c>
      <c r="D18" s="25">
        <f t="shared" si="2"/>
        <v>43</v>
      </c>
      <c r="E18" s="43">
        <v>0</v>
      </c>
      <c r="F18" s="27">
        <v>13</v>
      </c>
      <c r="G18" s="28">
        <v>0</v>
      </c>
      <c r="H18" s="25">
        <v>0</v>
      </c>
      <c r="I18" s="26">
        <v>0</v>
      </c>
      <c r="J18" s="27">
        <v>0</v>
      </c>
      <c r="K18" s="28">
        <v>0</v>
      </c>
      <c r="L18" s="25">
        <v>6</v>
      </c>
      <c r="M18" s="26">
        <v>0</v>
      </c>
      <c r="N18" s="27">
        <v>7</v>
      </c>
      <c r="O18" s="28">
        <v>0</v>
      </c>
      <c r="P18" s="25">
        <v>1</v>
      </c>
      <c r="Q18" s="26">
        <v>0</v>
      </c>
      <c r="R18" s="27">
        <v>2</v>
      </c>
      <c r="S18" s="19">
        <v>0</v>
      </c>
      <c r="T18" s="29">
        <v>6</v>
      </c>
      <c r="U18" s="28">
        <v>0</v>
      </c>
      <c r="V18" s="29">
        <v>1</v>
      </c>
      <c r="W18" s="26">
        <v>0</v>
      </c>
      <c r="X18" s="27">
        <v>2</v>
      </c>
      <c r="Y18" s="28">
        <v>0</v>
      </c>
      <c r="Z18" s="29">
        <v>5</v>
      </c>
    </row>
    <row r="19" spans="1:26" s="5" customFormat="1" ht="16.5" customHeight="1">
      <c r="A19" s="8"/>
      <c r="B19" s="9" t="s">
        <v>9</v>
      </c>
      <c r="C19" s="19">
        <f t="shared" si="1"/>
        <v>0</v>
      </c>
      <c r="D19" s="25">
        <f t="shared" si="2"/>
        <v>41</v>
      </c>
      <c r="E19" s="43">
        <v>0</v>
      </c>
      <c r="F19" s="27">
        <v>9</v>
      </c>
      <c r="G19" s="28">
        <v>0</v>
      </c>
      <c r="H19" s="25">
        <v>0</v>
      </c>
      <c r="I19" s="26">
        <v>0</v>
      </c>
      <c r="J19" s="27">
        <v>0</v>
      </c>
      <c r="K19" s="28">
        <v>0</v>
      </c>
      <c r="L19" s="25">
        <v>8</v>
      </c>
      <c r="M19" s="26">
        <v>0</v>
      </c>
      <c r="N19" s="27">
        <v>3</v>
      </c>
      <c r="O19" s="28">
        <v>0</v>
      </c>
      <c r="P19" s="25">
        <v>4</v>
      </c>
      <c r="Q19" s="26">
        <v>0</v>
      </c>
      <c r="R19" s="27">
        <v>6</v>
      </c>
      <c r="S19" s="19">
        <v>0</v>
      </c>
      <c r="T19" s="29">
        <v>2</v>
      </c>
      <c r="U19" s="28">
        <v>0</v>
      </c>
      <c r="V19" s="29">
        <v>4</v>
      </c>
      <c r="W19" s="26">
        <v>0</v>
      </c>
      <c r="X19" s="27">
        <v>1</v>
      </c>
      <c r="Y19" s="28">
        <v>0</v>
      </c>
      <c r="Z19" s="29">
        <v>4</v>
      </c>
    </row>
    <row r="20" spans="1:26" s="5" customFormat="1" ht="16.5" customHeight="1">
      <c r="A20" s="8"/>
      <c r="B20" s="9" t="s">
        <v>10</v>
      </c>
      <c r="C20" s="19">
        <f t="shared" si="1"/>
        <v>0</v>
      </c>
      <c r="D20" s="25">
        <f t="shared" si="2"/>
        <v>38</v>
      </c>
      <c r="E20" s="43">
        <v>0</v>
      </c>
      <c r="F20" s="27">
        <v>9</v>
      </c>
      <c r="G20" s="28">
        <v>0</v>
      </c>
      <c r="H20" s="25">
        <v>0</v>
      </c>
      <c r="I20" s="26">
        <v>0</v>
      </c>
      <c r="J20" s="27">
        <v>0</v>
      </c>
      <c r="K20" s="28">
        <v>0</v>
      </c>
      <c r="L20" s="25">
        <v>2</v>
      </c>
      <c r="M20" s="26">
        <v>0</v>
      </c>
      <c r="N20" s="27">
        <v>8</v>
      </c>
      <c r="O20" s="28">
        <v>0</v>
      </c>
      <c r="P20" s="25">
        <v>3</v>
      </c>
      <c r="Q20" s="26">
        <v>0</v>
      </c>
      <c r="R20" s="27">
        <v>4</v>
      </c>
      <c r="S20" s="19">
        <v>0</v>
      </c>
      <c r="T20" s="29">
        <v>2</v>
      </c>
      <c r="U20" s="28">
        <v>0</v>
      </c>
      <c r="V20" s="29">
        <v>1</v>
      </c>
      <c r="W20" s="26">
        <v>0</v>
      </c>
      <c r="X20" s="27">
        <v>1</v>
      </c>
      <c r="Y20" s="28">
        <v>0</v>
      </c>
      <c r="Z20" s="29">
        <v>8</v>
      </c>
    </row>
    <row r="21" spans="1:26" s="5" customFormat="1" ht="16.5" customHeight="1">
      <c r="A21" s="8"/>
      <c r="B21" s="9" t="s">
        <v>11</v>
      </c>
      <c r="C21" s="19">
        <f t="shared" si="1"/>
        <v>1</v>
      </c>
      <c r="D21" s="25">
        <f t="shared" si="2"/>
        <v>45</v>
      </c>
      <c r="E21" s="43">
        <v>0</v>
      </c>
      <c r="F21" s="27">
        <v>16</v>
      </c>
      <c r="G21" s="28">
        <v>0</v>
      </c>
      <c r="H21" s="25">
        <v>0</v>
      </c>
      <c r="I21" s="26">
        <v>0</v>
      </c>
      <c r="J21" s="27">
        <v>0</v>
      </c>
      <c r="K21" s="28">
        <v>0</v>
      </c>
      <c r="L21" s="25">
        <v>7</v>
      </c>
      <c r="M21" s="26">
        <v>1</v>
      </c>
      <c r="N21" s="27">
        <v>3</v>
      </c>
      <c r="O21" s="28">
        <v>0</v>
      </c>
      <c r="P21" s="25">
        <v>0</v>
      </c>
      <c r="Q21" s="26">
        <v>0</v>
      </c>
      <c r="R21" s="27">
        <v>4</v>
      </c>
      <c r="S21" s="19">
        <v>0</v>
      </c>
      <c r="T21" s="29">
        <v>1</v>
      </c>
      <c r="U21" s="28">
        <v>0</v>
      </c>
      <c r="V21" s="29">
        <v>2</v>
      </c>
      <c r="W21" s="26">
        <v>0</v>
      </c>
      <c r="X21" s="27">
        <v>3</v>
      </c>
      <c r="Y21" s="28">
        <v>0</v>
      </c>
      <c r="Z21" s="29">
        <v>9</v>
      </c>
    </row>
    <row r="22" spans="1:26" s="5" customFormat="1" ht="16.5" customHeight="1">
      <c r="A22" s="8"/>
      <c r="B22" s="9" t="s">
        <v>12</v>
      </c>
      <c r="C22" s="19">
        <f t="shared" si="1"/>
        <v>1</v>
      </c>
      <c r="D22" s="25">
        <f t="shared" si="2"/>
        <v>39</v>
      </c>
      <c r="E22" s="43">
        <v>0</v>
      </c>
      <c r="F22" s="27">
        <v>7</v>
      </c>
      <c r="G22" s="28">
        <v>0</v>
      </c>
      <c r="H22" s="25">
        <v>0</v>
      </c>
      <c r="I22" s="26">
        <v>0</v>
      </c>
      <c r="J22" s="27">
        <v>0</v>
      </c>
      <c r="K22" s="28">
        <v>0</v>
      </c>
      <c r="L22" s="25">
        <v>3</v>
      </c>
      <c r="M22" s="26">
        <v>0</v>
      </c>
      <c r="N22" s="27">
        <v>5</v>
      </c>
      <c r="O22" s="28">
        <v>0</v>
      </c>
      <c r="P22" s="25">
        <v>0</v>
      </c>
      <c r="Q22" s="26">
        <v>1</v>
      </c>
      <c r="R22" s="27">
        <v>12</v>
      </c>
      <c r="S22" s="19">
        <v>0</v>
      </c>
      <c r="T22" s="29">
        <v>6</v>
      </c>
      <c r="U22" s="28">
        <v>0</v>
      </c>
      <c r="V22" s="29">
        <v>1</v>
      </c>
      <c r="W22" s="26">
        <v>0</v>
      </c>
      <c r="X22" s="27">
        <v>0</v>
      </c>
      <c r="Y22" s="28">
        <v>0</v>
      </c>
      <c r="Z22" s="29">
        <v>5</v>
      </c>
    </row>
    <row r="23" spans="1:26" s="5" customFormat="1" ht="16.5" customHeight="1">
      <c r="A23" s="10"/>
      <c r="B23" s="11" t="s">
        <v>13</v>
      </c>
      <c r="C23" s="21">
        <f t="shared" si="1"/>
        <v>2</v>
      </c>
      <c r="D23" s="35">
        <f t="shared" si="2"/>
        <v>37</v>
      </c>
      <c r="E23" s="46">
        <v>0</v>
      </c>
      <c r="F23" s="37">
        <v>9</v>
      </c>
      <c r="G23" s="38">
        <v>0</v>
      </c>
      <c r="H23" s="35">
        <v>0</v>
      </c>
      <c r="I23" s="36">
        <v>0</v>
      </c>
      <c r="J23" s="37">
        <v>0</v>
      </c>
      <c r="K23" s="38">
        <v>1</v>
      </c>
      <c r="L23" s="35">
        <v>2</v>
      </c>
      <c r="M23" s="36">
        <v>1</v>
      </c>
      <c r="N23" s="37">
        <v>7</v>
      </c>
      <c r="O23" s="38">
        <v>0</v>
      </c>
      <c r="P23" s="35">
        <v>1</v>
      </c>
      <c r="Q23" s="36">
        <v>0</v>
      </c>
      <c r="R23" s="37">
        <v>5</v>
      </c>
      <c r="S23" s="21">
        <v>0</v>
      </c>
      <c r="T23" s="39">
        <v>7</v>
      </c>
      <c r="U23" s="38">
        <v>0</v>
      </c>
      <c r="V23" s="39">
        <v>2</v>
      </c>
      <c r="W23" s="36">
        <v>0</v>
      </c>
      <c r="X23" s="37">
        <v>2</v>
      </c>
      <c r="Y23" s="38">
        <v>0</v>
      </c>
      <c r="Z23" s="39">
        <v>2</v>
      </c>
    </row>
    <row r="24" s="5" customFormat="1" ht="16.5" customHeight="1">
      <c r="A24" s="5" t="s">
        <v>28</v>
      </c>
    </row>
    <row r="25" s="2" customFormat="1" ht="16.5" customHeight="1">
      <c r="A25" s="5" t="s">
        <v>34</v>
      </c>
    </row>
    <row r="26" s="5" customFormat="1" ht="16.5" customHeight="1">
      <c r="A26" s="5" t="s">
        <v>30</v>
      </c>
    </row>
    <row r="27" s="5" customFormat="1" ht="16.5" customHeight="1">
      <c r="B27" s="5" t="s">
        <v>31</v>
      </c>
    </row>
    <row r="28" s="5" customFormat="1" ht="16.5" customHeight="1">
      <c r="B28" s="5" t="s">
        <v>32</v>
      </c>
    </row>
    <row r="29" s="5" customFormat="1" ht="16.5" customHeight="1">
      <c r="B29" s="5" t="s">
        <v>33</v>
      </c>
    </row>
    <row r="30" s="5" customFormat="1" ht="16.5" customHeight="1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</sheetData>
  <sheetProtection/>
  <mergeCells count="13">
    <mergeCell ref="W4:X4"/>
    <mergeCell ref="Y4:Z4"/>
    <mergeCell ref="U4:V4"/>
    <mergeCell ref="I4:J4"/>
    <mergeCell ref="K4:L4"/>
    <mergeCell ref="M4:N4"/>
    <mergeCell ref="O4:P4"/>
    <mergeCell ref="A4:B5"/>
    <mergeCell ref="C4:D4"/>
    <mergeCell ref="E4:F4"/>
    <mergeCell ref="G4:H4"/>
    <mergeCell ref="Q4:R4"/>
    <mergeCell ref="S4:T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67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5" customFormat="1" ht="18.75" customHeight="1" thickBot="1">
      <c r="A10" s="47" t="s">
        <v>44</v>
      </c>
      <c r="B10" s="48" t="s">
        <v>1</v>
      </c>
      <c r="C10" s="49">
        <f aca="true" t="shared" si="0" ref="C10:Z10">SUM(C11:C22)</f>
        <v>5</v>
      </c>
      <c r="D10" s="50">
        <f t="shared" si="0"/>
        <v>526</v>
      </c>
      <c r="E10" s="51">
        <f t="shared" si="0"/>
        <v>0</v>
      </c>
      <c r="F10" s="40">
        <f t="shared" si="0"/>
        <v>146</v>
      </c>
      <c r="G10" s="49">
        <f t="shared" si="0"/>
        <v>0</v>
      </c>
      <c r="H10" s="50">
        <f t="shared" si="0"/>
        <v>0</v>
      </c>
      <c r="I10" s="49">
        <f t="shared" si="0"/>
        <v>0</v>
      </c>
      <c r="J10" s="50">
        <f t="shared" si="0"/>
        <v>3</v>
      </c>
      <c r="K10" s="49">
        <f t="shared" si="0"/>
        <v>2</v>
      </c>
      <c r="L10" s="50">
        <f t="shared" si="0"/>
        <v>65</v>
      </c>
      <c r="M10" s="49">
        <f t="shared" si="0"/>
        <v>0</v>
      </c>
      <c r="N10" s="50">
        <f t="shared" si="0"/>
        <v>73</v>
      </c>
      <c r="O10" s="49">
        <f t="shared" si="0"/>
        <v>0</v>
      </c>
      <c r="P10" s="50">
        <f t="shared" si="0"/>
        <v>16</v>
      </c>
      <c r="Q10" s="49">
        <f t="shared" si="0"/>
        <v>1</v>
      </c>
      <c r="R10" s="50">
        <f t="shared" si="0"/>
        <v>72</v>
      </c>
      <c r="S10" s="49">
        <f t="shared" si="0"/>
        <v>1</v>
      </c>
      <c r="T10" s="50">
        <f t="shared" si="0"/>
        <v>45</v>
      </c>
      <c r="U10" s="49">
        <f t="shared" si="0"/>
        <v>0</v>
      </c>
      <c r="V10" s="40">
        <f t="shared" si="0"/>
        <v>13</v>
      </c>
      <c r="W10" s="49">
        <f t="shared" si="0"/>
        <v>0</v>
      </c>
      <c r="X10" s="50">
        <f t="shared" si="0"/>
        <v>13</v>
      </c>
      <c r="Y10" s="49">
        <f t="shared" si="0"/>
        <v>1</v>
      </c>
      <c r="Z10" s="40">
        <f t="shared" si="0"/>
        <v>80</v>
      </c>
    </row>
    <row r="11" spans="1:26" s="5" customFormat="1" ht="16.5" customHeight="1" thickTop="1">
      <c r="A11" s="15" t="s">
        <v>44</v>
      </c>
      <c r="B11" s="16" t="s">
        <v>2</v>
      </c>
      <c r="C11" s="20">
        <f aca="true" t="shared" si="1" ref="C11:C22">SUM(E11,G11,I11,K11,M11,O11,Q11,S11,U11,W11,Y11)</f>
        <v>1</v>
      </c>
      <c r="D11" s="30">
        <f aca="true" t="shared" si="2" ref="D11:D22">SUM(F11,H11,J11,L11,N11,P11,R11,T11,V11,X11,Z11)</f>
        <v>51</v>
      </c>
      <c r="E11" s="45">
        <v>0</v>
      </c>
      <c r="F11" s="32">
        <v>9</v>
      </c>
      <c r="G11" s="33">
        <v>0</v>
      </c>
      <c r="H11" s="30">
        <v>0</v>
      </c>
      <c r="I11" s="31">
        <v>0</v>
      </c>
      <c r="J11" s="32">
        <v>1</v>
      </c>
      <c r="K11" s="33">
        <v>1</v>
      </c>
      <c r="L11" s="30">
        <v>6</v>
      </c>
      <c r="M11" s="31">
        <v>0</v>
      </c>
      <c r="N11" s="32">
        <v>6</v>
      </c>
      <c r="O11" s="33">
        <v>0</v>
      </c>
      <c r="P11" s="30">
        <v>1</v>
      </c>
      <c r="Q11" s="31">
        <v>0</v>
      </c>
      <c r="R11" s="32">
        <v>10</v>
      </c>
      <c r="S11" s="20">
        <v>0</v>
      </c>
      <c r="T11" s="34">
        <v>5</v>
      </c>
      <c r="U11" s="33">
        <v>0</v>
      </c>
      <c r="V11" s="34">
        <v>3</v>
      </c>
      <c r="W11" s="31">
        <v>0</v>
      </c>
      <c r="X11" s="32">
        <v>1</v>
      </c>
      <c r="Y11" s="33">
        <v>0</v>
      </c>
      <c r="Z11" s="34">
        <v>9</v>
      </c>
    </row>
    <row r="12" spans="1:26" s="5" customFormat="1" ht="16.5" customHeight="1">
      <c r="A12" s="8"/>
      <c r="B12" s="9" t="s">
        <v>3</v>
      </c>
      <c r="C12" s="19">
        <f t="shared" si="1"/>
        <v>1</v>
      </c>
      <c r="D12" s="25">
        <f t="shared" si="2"/>
        <v>49</v>
      </c>
      <c r="E12" s="43">
        <v>0</v>
      </c>
      <c r="F12" s="27">
        <v>15</v>
      </c>
      <c r="G12" s="28">
        <v>0</v>
      </c>
      <c r="H12" s="25">
        <v>0</v>
      </c>
      <c r="I12" s="26">
        <v>0</v>
      </c>
      <c r="J12" s="27">
        <v>0</v>
      </c>
      <c r="K12" s="28">
        <v>0</v>
      </c>
      <c r="L12" s="25">
        <v>6</v>
      </c>
      <c r="M12" s="26">
        <v>0</v>
      </c>
      <c r="N12" s="27">
        <v>7</v>
      </c>
      <c r="O12" s="28">
        <v>0</v>
      </c>
      <c r="P12" s="25">
        <v>0</v>
      </c>
      <c r="Q12" s="26">
        <v>1</v>
      </c>
      <c r="R12" s="27">
        <v>7</v>
      </c>
      <c r="S12" s="19">
        <v>0</v>
      </c>
      <c r="T12" s="29">
        <v>3</v>
      </c>
      <c r="U12" s="28">
        <v>0</v>
      </c>
      <c r="V12" s="29">
        <v>2</v>
      </c>
      <c r="W12" s="26">
        <v>0</v>
      </c>
      <c r="X12" s="27">
        <v>0</v>
      </c>
      <c r="Y12" s="28">
        <v>0</v>
      </c>
      <c r="Z12" s="29">
        <v>9</v>
      </c>
    </row>
    <row r="13" spans="1:26" s="5" customFormat="1" ht="16.5" customHeight="1">
      <c r="A13" s="8"/>
      <c r="B13" s="9" t="s">
        <v>4</v>
      </c>
      <c r="C13" s="19">
        <f t="shared" si="1"/>
        <v>2</v>
      </c>
      <c r="D13" s="25">
        <f t="shared" si="2"/>
        <v>34</v>
      </c>
      <c r="E13" s="43">
        <v>0</v>
      </c>
      <c r="F13" s="27">
        <v>9</v>
      </c>
      <c r="G13" s="28">
        <v>0</v>
      </c>
      <c r="H13" s="25">
        <v>0</v>
      </c>
      <c r="I13" s="26">
        <v>0</v>
      </c>
      <c r="J13" s="27">
        <v>0</v>
      </c>
      <c r="K13" s="28">
        <v>1</v>
      </c>
      <c r="L13" s="25">
        <v>3</v>
      </c>
      <c r="M13" s="26">
        <v>0</v>
      </c>
      <c r="N13" s="27">
        <v>8</v>
      </c>
      <c r="O13" s="28">
        <v>0</v>
      </c>
      <c r="P13" s="25">
        <v>1</v>
      </c>
      <c r="Q13" s="26">
        <v>0</v>
      </c>
      <c r="R13" s="27">
        <v>5</v>
      </c>
      <c r="S13" s="19">
        <v>1</v>
      </c>
      <c r="T13" s="29">
        <v>3</v>
      </c>
      <c r="U13" s="28">
        <v>0</v>
      </c>
      <c r="V13" s="29">
        <v>0</v>
      </c>
      <c r="W13" s="26">
        <v>0</v>
      </c>
      <c r="X13" s="27">
        <v>1</v>
      </c>
      <c r="Y13" s="28">
        <v>0</v>
      </c>
      <c r="Z13" s="29">
        <v>4</v>
      </c>
    </row>
    <row r="14" spans="1:26" s="5" customFormat="1" ht="16.5" customHeight="1">
      <c r="A14" s="8"/>
      <c r="B14" s="9" t="s">
        <v>5</v>
      </c>
      <c r="C14" s="19">
        <f t="shared" si="1"/>
        <v>0</v>
      </c>
      <c r="D14" s="25">
        <f t="shared" si="2"/>
        <v>28</v>
      </c>
      <c r="E14" s="43">
        <v>0</v>
      </c>
      <c r="F14" s="27">
        <v>11</v>
      </c>
      <c r="G14" s="28">
        <v>0</v>
      </c>
      <c r="H14" s="25">
        <v>0</v>
      </c>
      <c r="I14" s="26">
        <v>0</v>
      </c>
      <c r="J14" s="27">
        <v>0</v>
      </c>
      <c r="K14" s="28">
        <v>0</v>
      </c>
      <c r="L14" s="25">
        <v>3</v>
      </c>
      <c r="M14" s="26">
        <v>0</v>
      </c>
      <c r="N14" s="27">
        <v>3</v>
      </c>
      <c r="O14" s="28">
        <v>0</v>
      </c>
      <c r="P14" s="25">
        <v>0</v>
      </c>
      <c r="Q14" s="26">
        <v>0</v>
      </c>
      <c r="R14" s="27">
        <v>3</v>
      </c>
      <c r="S14" s="19">
        <v>0</v>
      </c>
      <c r="T14" s="29">
        <v>3</v>
      </c>
      <c r="U14" s="28">
        <v>0</v>
      </c>
      <c r="V14" s="29">
        <v>1</v>
      </c>
      <c r="W14" s="26">
        <v>0</v>
      </c>
      <c r="X14" s="27">
        <v>1</v>
      </c>
      <c r="Y14" s="28">
        <v>0</v>
      </c>
      <c r="Z14" s="29">
        <v>3</v>
      </c>
    </row>
    <row r="15" spans="1:26" s="5" customFormat="1" ht="16.5" customHeight="1">
      <c r="A15" s="8"/>
      <c r="B15" s="9" t="s">
        <v>6</v>
      </c>
      <c r="C15" s="19">
        <f t="shared" si="1"/>
        <v>0</v>
      </c>
      <c r="D15" s="25">
        <f t="shared" si="2"/>
        <v>43</v>
      </c>
      <c r="E15" s="43">
        <v>0</v>
      </c>
      <c r="F15" s="27">
        <v>16</v>
      </c>
      <c r="G15" s="28">
        <v>0</v>
      </c>
      <c r="H15" s="25">
        <v>0</v>
      </c>
      <c r="I15" s="26">
        <v>0</v>
      </c>
      <c r="J15" s="27">
        <v>0</v>
      </c>
      <c r="K15" s="28">
        <v>0</v>
      </c>
      <c r="L15" s="25">
        <v>3</v>
      </c>
      <c r="M15" s="26">
        <v>0</v>
      </c>
      <c r="N15" s="27">
        <v>3</v>
      </c>
      <c r="O15" s="28">
        <v>0</v>
      </c>
      <c r="P15" s="25">
        <v>0</v>
      </c>
      <c r="Q15" s="26">
        <v>0</v>
      </c>
      <c r="R15" s="27">
        <v>4</v>
      </c>
      <c r="S15" s="19">
        <v>0</v>
      </c>
      <c r="T15" s="29">
        <v>5</v>
      </c>
      <c r="U15" s="28">
        <v>0</v>
      </c>
      <c r="V15" s="29">
        <v>1</v>
      </c>
      <c r="W15" s="26">
        <v>0</v>
      </c>
      <c r="X15" s="27">
        <v>1</v>
      </c>
      <c r="Y15" s="28">
        <v>0</v>
      </c>
      <c r="Z15" s="29">
        <v>10</v>
      </c>
    </row>
    <row r="16" spans="1:26" s="5" customFormat="1" ht="16.5" customHeight="1">
      <c r="A16" s="8"/>
      <c r="B16" s="9" t="s">
        <v>7</v>
      </c>
      <c r="C16" s="19">
        <f t="shared" si="1"/>
        <v>0</v>
      </c>
      <c r="D16" s="25">
        <f t="shared" si="2"/>
        <v>37</v>
      </c>
      <c r="E16" s="43">
        <v>0</v>
      </c>
      <c r="F16" s="27">
        <v>10</v>
      </c>
      <c r="G16" s="28">
        <v>0</v>
      </c>
      <c r="H16" s="25">
        <v>0</v>
      </c>
      <c r="I16" s="26">
        <v>0</v>
      </c>
      <c r="J16" s="27">
        <v>0</v>
      </c>
      <c r="K16" s="28">
        <v>0</v>
      </c>
      <c r="L16" s="25">
        <v>4</v>
      </c>
      <c r="M16" s="26">
        <v>0</v>
      </c>
      <c r="N16" s="27">
        <v>7</v>
      </c>
      <c r="O16" s="28">
        <v>0</v>
      </c>
      <c r="P16" s="25">
        <v>0</v>
      </c>
      <c r="Q16" s="26">
        <v>0</v>
      </c>
      <c r="R16" s="27">
        <v>5</v>
      </c>
      <c r="S16" s="19">
        <v>0</v>
      </c>
      <c r="T16" s="29">
        <v>5</v>
      </c>
      <c r="U16" s="28">
        <v>0</v>
      </c>
      <c r="V16" s="29">
        <v>0</v>
      </c>
      <c r="W16" s="26">
        <v>0</v>
      </c>
      <c r="X16" s="27">
        <v>0</v>
      </c>
      <c r="Y16" s="28">
        <v>0</v>
      </c>
      <c r="Z16" s="29">
        <v>6</v>
      </c>
    </row>
    <row r="17" spans="1:26" s="5" customFormat="1" ht="16.5" customHeight="1">
      <c r="A17" s="8"/>
      <c r="B17" s="9" t="s">
        <v>8</v>
      </c>
      <c r="C17" s="19">
        <f t="shared" si="1"/>
        <v>0</v>
      </c>
      <c r="D17" s="25">
        <f t="shared" si="2"/>
        <v>55</v>
      </c>
      <c r="E17" s="43">
        <v>0</v>
      </c>
      <c r="F17" s="27">
        <v>11</v>
      </c>
      <c r="G17" s="28">
        <v>0</v>
      </c>
      <c r="H17" s="25">
        <v>0</v>
      </c>
      <c r="I17" s="26">
        <v>0</v>
      </c>
      <c r="J17" s="27">
        <v>0</v>
      </c>
      <c r="K17" s="28">
        <v>0</v>
      </c>
      <c r="L17" s="25">
        <v>9</v>
      </c>
      <c r="M17" s="26">
        <v>0</v>
      </c>
      <c r="N17" s="27">
        <v>6</v>
      </c>
      <c r="O17" s="28">
        <v>0</v>
      </c>
      <c r="P17" s="25">
        <v>7</v>
      </c>
      <c r="Q17" s="26">
        <v>0</v>
      </c>
      <c r="R17" s="27">
        <v>7</v>
      </c>
      <c r="S17" s="19">
        <v>0</v>
      </c>
      <c r="T17" s="29">
        <v>6</v>
      </c>
      <c r="U17" s="28">
        <v>0</v>
      </c>
      <c r="V17" s="29">
        <v>1</v>
      </c>
      <c r="W17" s="26">
        <v>0</v>
      </c>
      <c r="X17" s="27">
        <v>2</v>
      </c>
      <c r="Y17" s="28">
        <v>0</v>
      </c>
      <c r="Z17" s="29">
        <v>6</v>
      </c>
    </row>
    <row r="18" spans="1:26" s="5" customFormat="1" ht="16.5" customHeight="1">
      <c r="A18" s="8"/>
      <c r="B18" s="9" t="s">
        <v>9</v>
      </c>
      <c r="C18" s="19">
        <f t="shared" si="1"/>
        <v>0</v>
      </c>
      <c r="D18" s="25">
        <f t="shared" si="2"/>
        <v>47</v>
      </c>
      <c r="E18" s="43">
        <v>0</v>
      </c>
      <c r="F18" s="27">
        <v>17</v>
      </c>
      <c r="G18" s="28">
        <v>0</v>
      </c>
      <c r="H18" s="25">
        <v>0</v>
      </c>
      <c r="I18" s="26">
        <v>0</v>
      </c>
      <c r="J18" s="27">
        <v>0</v>
      </c>
      <c r="K18" s="28">
        <v>0</v>
      </c>
      <c r="L18" s="25">
        <v>4</v>
      </c>
      <c r="M18" s="26">
        <v>0</v>
      </c>
      <c r="N18" s="27">
        <v>11</v>
      </c>
      <c r="O18" s="28">
        <v>0</v>
      </c>
      <c r="P18" s="25">
        <v>1</v>
      </c>
      <c r="Q18" s="26">
        <v>0</v>
      </c>
      <c r="R18" s="27">
        <v>5</v>
      </c>
      <c r="S18" s="19">
        <v>0</v>
      </c>
      <c r="T18" s="29">
        <v>2</v>
      </c>
      <c r="U18" s="28">
        <v>0</v>
      </c>
      <c r="V18" s="29">
        <v>2</v>
      </c>
      <c r="W18" s="26">
        <v>0</v>
      </c>
      <c r="X18" s="27">
        <v>0</v>
      </c>
      <c r="Y18" s="28">
        <v>0</v>
      </c>
      <c r="Z18" s="29">
        <v>5</v>
      </c>
    </row>
    <row r="19" spans="1:26" s="5" customFormat="1" ht="16.5" customHeight="1">
      <c r="A19" s="8"/>
      <c r="B19" s="9" t="s">
        <v>10</v>
      </c>
      <c r="C19" s="19">
        <f t="shared" si="1"/>
        <v>1</v>
      </c>
      <c r="D19" s="25">
        <f t="shared" si="2"/>
        <v>37</v>
      </c>
      <c r="E19" s="43">
        <v>0</v>
      </c>
      <c r="F19" s="27">
        <v>17</v>
      </c>
      <c r="G19" s="28">
        <v>0</v>
      </c>
      <c r="H19" s="25">
        <v>0</v>
      </c>
      <c r="I19" s="26">
        <v>0</v>
      </c>
      <c r="J19" s="27">
        <v>1</v>
      </c>
      <c r="K19" s="28">
        <v>0</v>
      </c>
      <c r="L19" s="25">
        <v>7</v>
      </c>
      <c r="M19" s="26">
        <v>0</v>
      </c>
      <c r="N19" s="27">
        <v>3</v>
      </c>
      <c r="O19" s="28">
        <v>0</v>
      </c>
      <c r="P19" s="25">
        <v>1</v>
      </c>
      <c r="Q19" s="26">
        <v>0</v>
      </c>
      <c r="R19" s="27">
        <v>7</v>
      </c>
      <c r="S19" s="19">
        <v>0</v>
      </c>
      <c r="T19" s="29">
        <v>0</v>
      </c>
      <c r="U19" s="28">
        <v>0</v>
      </c>
      <c r="V19" s="29">
        <v>0</v>
      </c>
      <c r="W19" s="26">
        <v>0</v>
      </c>
      <c r="X19" s="27">
        <v>1</v>
      </c>
      <c r="Y19" s="28">
        <v>1</v>
      </c>
      <c r="Z19" s="29">
        <v>0</v>
      </c>
    </row>
    <row r="20" spans="1:26" s="5" customFormat="1" ht="16.5" customHeight="1">
      <c r="A20" s="8"/>
      <c r="B20" s="9" t="s">
        <v>11</v>
      </c>
      <c r="C20" s="19">
        <f t="shared" si="1"/>
        <v>0</v>
      </c>
      <c r="D20" s="25">
        <f t="shared" si="2"/>
        <v>50</v>
      </c>
      <c r="E20" s="43">
        <v>0</v>
      </c>
      <c r="F20" s="27">
        <v>15</v>
      </c>
      <c r="G20" s="28">
        <v>0</v>
      </c>
      <c r="H20" s="25">
        <v>0</v>
      </c>
      <c r="I20" s="26">
        <v>0</v>
      </c>
      <c r="J20" s="27">
        <v>1</v>
      </c>
      <c r="K20" s="28">
        <v>0</v>
      </c>
      <c r="L20" s="25">
        <v>10</v>
      </c>
      <c r="M20" s="26">
        <v>0</v>
      </c>
      <c r="N20" s="27">
        <v>8</v>
      </c>
      <c r="O20" s="28">
        <v>0</v>
      </c>
      <c r="P20" s="25">
        <v>1</v>
      </c>
      <c r="Q20" s="26">
        <v>0</v>
      </c>
      <c r="R20" s="27">
        <v>4</v>
      </c>
      <c r="S20" s="19">
        <v>0</v>
      </c>
      <c r="T20" s="29">
        <v>0</v>
      </c>
      <c r="U20" s="28">
        <v>0</v>
      </c>
      <c r="V20" s="29">
        <v>1</v>
      </c>
      <c r="W20" s="26">
        <v>0</v>
      </c>
      <c r="X20" s="27">
        <v>2</v>
      </c>
      <c r="Y20" s="28">
        <v>0</v>
      </c>
      <c r="Z20" s="29">
        <v>8</v>
      </c>
    </row>
    <row r="21" spans="1:26" s="5" customFormat="1" ht="16.5" customHeight="1">
      <c r="A21" s="8"/>
      <c r="B21" s="9" t="s">
        <v>12</v>
      </c>
      <c r="C21" s="19">
        <f t="shared" si="1"/>
        <v>0</v>
      </c>
      <c r="D21" s="25">
        <f t="shared" si="2"/>
        <v>45</v>
      </c>
      <c r="E21" s="43">
        <v>0</v>
      </c>
      <c r="F21" s="27">
        <v>7</v>
      </c>
      <c r="G21" s="28">
        <v>0</v>
      </c>
      <c r="H21" s="25">
        <v>0</v>
      </c>
      <c r="I21" s="26">
        <v>0</v>
      </c>
      <c r="J21" s="27">
        <v>0</v>
      </c>
      <c r="K21" s="28">
        <v>0</v>
      </c>
      <c r="L21" s="25">
        <v>6</v>
      </c>
      <c r="M21" s="26">
        <v>0</v>
      </c>
      <c r="N21" s="27">
        <v>4</v>
      </c>
      <c r="O21" s="28">
        <v>0</v>
      </c>
      <c r="P21" s="25">
        <v>1</v>
      </c>
      <c r="Q21" s="26">
        <v>0</v>
      </c>
      <c r="R21" s="27">
        <v>8</v>
      </c>
      <c r="S21" s="19">
        <v>0</v>
      </c>
      <c r="T21" s="29">
        <v>3</v>
      </c>
      <c r="U21" s="28">
        <v>0</v>
      </c>
      <c r="V21" s="29">
        <v>0</v>
      </c>
      <c r="W21" s="26">
        <v>0</v>
      </c>
      <c r="X21" s="27">
        <v>2</v>
      </c>
      <c r="Y21" s="28">
        <v>0</v>
      </c>
      <c r="Z21" s="29">
        <v>14</v>
      </c>
    </row>
    <row r="22" spans="1:26" s="5" customFormat="1" ht="16.5" customHeight="1">
      <c r="A22" s="10"/>
      <c r="B22" s="11" t="s">
        <v>13</v>
      </c>
      <c r="C22" s="21">
        <f t="shared" si="1"/>
        <v>0</v>
      </c>
      <c r="D22" s="35">
        <f t="shared" si="2"/>
        <v>50</v>
      </c>
      <c r="E22" s="46">
        <v>0</v>
      </c>
      <c r="F22" s="37">
        <v>9</v>
      </c>
      <c r="G22" s="38">
        <v>0</v>
      </c>
      <c r="H22" s="35">
        <v>0</v>
      </c>
      <c r="I22" s="36">
        <v>0</v>
      </c>
      <c r="J22" s="37">
        <v>0</v>
      </c>
      <c r="K22" s="38">
        <v>0</v>
      </c>
      <c r="L22" s="35">
        <v>4</v>
      </c>
      <c r="M22" s="36">
        <v>0</v>
      </c>
      <c r="N22" s="37">
        <v>7</v>
      </c>
      <c r="O22" s="38">
        <v>0</v>
      </c>
      <c r="P22" s="35">
        <v>3</v>
      </c>
      <c r="Q22" s="36">
        <v>0</v>
      </c>
      <c r="R22" s="37">
        <v>7</v>
      </c>
      <c r="S22" s="21">
        <v>0</v>
      </c>
      <c r="T22" s="39">
        <v>10</v>
      </c>
      <c r="U22" s="38">
        <v>0</v>
      </c>
      <c r="V22" s="39">
        <v>2</v>
      </c>
      <c r="W22" s="36">
        <v>0</v>
      </c>
      <c r="X22" s="37">
        <v>2</v>
      </c>
      <c r="Y22" s="38">
        <v>0</v>
      </c>
      <c r="Z22" s="39">
        <v>6</v>
      </c>
    </row>
    <row r="23" s="5" customFormat="1" ht="16.5" customHeight="1">
      <c r="A23" s="5" t="s">
        <v>28</v>
      </c>
    </row>
    <row r="24" s="2" customFormat="1" ht="16.5" customHeight="1">
      <c r="A24" s="5" t="s">
        <v>34</v>
      </c>
    </row>
    <row r="25" s="5" customFormat="1" ht="16.5" customHeight="1">
      <c r="A25" s="5" t="s">
        <v>30</v>
      </c>
    </row>
    <row r="26" s="5" customFormat="1" ht="16.5" customHeight="1">
      <c r="B26" s="5" t="s">
        <v>31</v>
      </c>
    </row>
    <row r="27" s="5" customFormat="1" ht="16.5" customHeight="1">
      <c r="B27" s="5" t="s">
        <v>32</v>
      </c>
    </row>
    <row r="28" s="5" customFormat="1" ht="16.5" customHeight="1">
      <c r="B28" s="5" t="s">
        <v>33</v>
      </c>
    </row>
    <row r="29" s="5" customFormat="1" ht="16.5" customHeight="1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</sheetData>
  <sheetProtection/>
  <mergeCells count="13"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W4:X4"/>
    <mergeCell ref="Y4:Z4"/>
    <mergeCell ref="U4:V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68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 thickBot="1">
      <c r="A9" s="47" t="s">
        <v>43</v>
      </c>
      <c r="B9" s="48" t="s">
        <v>1</v>
      </c>
      <c r="C9" s="49">
        <f aca="true" t="shared" si="0" ref="C9:Z9">SUM(C10:C21)</f>
        <v>9</v>
      </c>
      <c r="D9" s="50">
        <f t="shared" si="0"/>
        <v>489</v>
      </c>
      <c r="E9" s="51">
        <f t="shared" si="0"/>
        <v>1</v>
      </c>
      <c r="F9" s="40">
        <f t="shared" si="0"/>
        <v>140</v>
      </c>
      <c r="G9" s="49">
        <f t="shared" si="0"/>
        <v>0</v>
      </c>
      <c r="H9" s="50">
        <f t="shared" si="0"/>
        <v>0</v>
      </c>
      <c r="I9" s="49">
        <f t="shared" si="0"/>
        <v>0</v>
      </c>
      <c r="J9" s="50">
        <f t="shared" si="0"/>
        <v>1</v>
      </c>
      <c r="K9" s="49">
        <f t="shared" si="0"/>
        <v>4</v>
      </c>
      <c r="L9" s="50">
        <f t="shared" si="0"/>
        <v>62</v>
      </c>
      <c r="M9" s="49">
        <f t="shared" si="0"/>
        <v>1</v>
      </c>
      <c r="N9" s="50">
        <f t="shared" si="0"/>
        <v>61</v>
      </c>
      <c r="O9" s="49">
        <f t="shared" si="0"/>
        <v>0</v>
      </c>
      <c r="P9" s="50">
        <f t="shared" si="0"/>
        <v>11</v>
      </c>
      <c r="Q9" s="49">
        <f t="shared" si="0"/>
        <v>1</v>
      </c>
      <c r="R9" s="50">
        <f t="shared" si="0"/>
        <v>68</v>
      </c>
      <c r="S9" s="49">
        <f t="shared" si="0"/>
        <v>1</v>
      </c>
      <c r="T9" s="50">
        <f t="shared" si="0"/>
        <v>45</v>
      </c>
      <c r="U9" s="49">
        <f t="shared" si="0"/>
        <v>0</v>
      </c>
      <c r="V9" s="40">
        <f t="shared" si="0"/>
        <v>19</v>
      </c>
      <c r="W9" s="49">
        <f t="shared" si="0"/>
        <v>0</v>
      </c>
      <c r="X9" s="50">
        <f t="shared" si="0"/>
        <v>18</v>
      </c>
      <c r="Y9" s="49">
        <f t="shared" si="0"/>
        <v>1</v>
      </c>
      <c r="Z9" s="40">
        <f t="shared" si="0"/>
        <v>64</v>
      </c>
    </row>
    <row r="10" spans="1:26" s="5" customFormat="1" ht="16.5" customHeight="1" thickTop="1">
      <c r="A10" s="15" t="s">
        <v>43</v>
      </c>
      <c r="B10" s="16" t="s">
        <v>2</v>
      </c>
      <c r="C10" s="20">
        <f>SUM(E10,G10,I10,K10,M10,O10,Q10,S10,U10,W10,Y10)</f>
        <v>1</v>
      </c>
      <c r="D10" s="30">
        <f>SUM(F10,H10,J10,L10,N10,P10,R10,T10,V10,X10,Z10)</f>
        <v>47</v>
      </c>
      <c r="E10" s="45">
        <v>0</v>
      </c>
      <c r="F10" s="32">
        <v>9</v>
      </c>
      <c r="G10" s="33">
        <v>0</v>
      </c>
      <c r="H10" s="30">
        <v>0</v>
      </c>
      <c r="I10" s="31">
        <v>0</v>
      </c>
      <c r="J10" s="32">
        <v>1</v>
      </c>
      <c r="K10" s="33">
        <v>0</v>
      </c>
      <c r="L10" s="30">
        <v>3</v>
      </c>
      <c r="M10" s="31">
        <v>0</v>
      </c>
      <c r="N10" s="32">
        <v>6</v>
      </c>
      <c r="O10" s="33">
        <v>0</v>
      </c>
      <c r="P10" s="30">
        <v>1</v>
      </c>
      <c r="Q10" s="31">
        <v>0</v>
      </c>
      <c r="R10" s="32">
        <v>6</v>
      </c>
      <c r="S10" s="20">
        <v>0</v>
      </c>
      <c r="T10" s="34">
        <v>11</v>
      </c>
      <c r="U10" s="33">
        <v>0</v>
      </c>
      <c r="V10" s="34">
        <v>1</v>
      </c>
      <c r="W10" s="31">
        <v>0</v>
      </c>
      <c r="X10" s="32">
        <v>2</v>
      </c>
      <c r="Y10" s="33">
        <v>1</v>
      </c>
      <c r="Z10" s="34">
        <v>7</v>
      </c>
    </row>
    <row r="11" spans="1:26" s="5" customFormat="1" ht="16.5" customHeight="1">
      <c r="A11" s="8"/>
      <c r="B11" s="9" t="s">
        <v>3</v>
      </c>
      <c r="C11" s="19">
        <f aca="true" t="shared" si="1" ref="C11:D21">SUM(E11,G11,I11,K11,M11,O11,Q11,S11,U11,W11,Y11)</f>
        <v>2</v>
      </c>
      <c r="D11" s="25">
        <f t="shared" si="1"/>
        <v>45</v>
      </c>
      <c r="E11" s="43">
        <v>0</v>
      </c>
      <c r="F11" s="27">
        <v>11</v>
      </c>
      <c r="G11" s="28">
        <v>0</v>
      </c>
      <c r="H11" s="25">
        <v>0</v>
      </c>
      <c r="I11" s="26">
        <v>0</v>
      </c>
      <c r="J11" s="27">
        <v>0</v>
      </c>
      <c r="K11" s="28">
        <v>1</v>
      </c>
      <c r="L11" s="25">
        <v>4</v>
      </c>
      <c r="M11" s="26">
        <v>1</v>
      </c>
      <c r="N11" s="27">
        <v>5</v>
      </c>
      <c r="O11" s="28">
        <v>0</v>
      </c>
      <c r="P11" s="25">
        <v>3</v>
      </c>
      <c r="Q11" s="26">
        <v>0</v>
      </c>
      <c r="R11" s="27">
        <v>11</v>
      </c>
      <c r="S11" s="19">
        <v>0</v>
      </c>
      <c r="T11" s="29">
        <v>3</v>
      </c>
      <c r="U11" s="28">
        <v>0</v>
      </c>
      <c r="V11" s="29">
        <v>1</v>
      </c>
      <c r="W11" s="26">
        <v>0</v>
      </c>
      <c r="X11" s="27">
        <v>3</v>
      </c>
      <c r="Y11" s="28">
        <v>0</v>
      </c>
      <c r="Z11" s="29">
        <v>4</v>
      </c>
    </row>
    <row r="12" spans="1:26" s="5" customFormat="1" ht="16.5" customHeight="1">
      <c r="A12" s="8"/>
      <c r="B12" s="9" t="s">
        <v>4</v>
      </c>
      <c r="C12" s="19">
        <f t="shared" si="1"/>
        <v>0</v>
      </c>
      <c r="D12" s="25">
        <f t="shared" si="1"/>
        <v>28</v>
      </c>
      <c r="E12" s="43">
        <v>0</v>
      </c>
      <c r="F12" s="27">
        <v>7</v>
      </c>
      <c r="G12" s="28">
        <v>0</v>
      </c>
      <c r="H12" s="25">
        <v>0</v>
      </c>
      <c r="I12" s="26">
        <v>0</v>
      </c>
      <c r="J12" s="27">
        <v>0</v>
      </c>
      <c r="K12" s="28">
        <v>0</v>
      </c>
      <c r="L12" s="25">
        <v>4</v>
      </c>
      <c r="M12" s="26">
        <v>0</v>
      </c>
      <c r="N12" s="27">
        <v>7</v>
      </c>
      <c r="O12" s="28">
        <v>0</v>
      </c>
      <c r="P12" s="25">
        <v>0</v>
      </c>
      <c r="Q12" s="26">
        <v>0</v>
      </c>
      <c r="R12" s="27">
        <v>3</v>
      </c>
      <c r="S12" s="19">
        <v>0</v>
      </c>
      <c r="T12" s="29">
        <v>3</v>
      </c>
      <c r="U12" s="28">
        <v>0</v>
      </c>
      <c r="V12" s="29">
        <v>1</v>
      </c>
      <c r="W12" s="26">
        <v>0</v>
      </c>
      <c r="X12" s="27">
        <v>0</v>
      </c>
      <c r="Y12" s="28">
        <v>0</v>
      </c>
      <c r="Z12" s="29">
        <v>3</v>
      </c>
    </row>
    <row r="13" spans="1:26" s="5" customFormat="1" ht="16.5" customHeight="1">
      <c r="A13" s="8"/>
      <c r="B13" s="9" t="s">
        <v>5</v>
      </c>
      <c r="C13" s="19">
        <f t="shared" si="1"/>
        <v>0</v>
      </c>
      <c r="D13" s="25">
        <f t="shared" si="1"/>
        <v>40</v>
      </c>
      <c r="E13" s="43">
        <v>0</v>
      </c>
      <c r="F13" s="27">
        <v>11</v>
      </c>
      <c r="G13" s="28">
        <v>0</v>
      </c>
      <c r="H13" s="25">
        <v>0</v>
      </c>
      <c r="I13" s="26">
        <v>0</v>
      </c>
      <c r="J13" s="27">
        <v>0</v>
      </c>
      <c r="K13" s="28">
        <v>0</v>
      </c>
      <c r="L13" s="25">
        <v>7</v>
      </c>
      <c r="M13" s="26">
        <v>0</v>
      </c>
      <c r="N13" s="27">
        <v>8</v>
      </c>
      <c r="O13" s="28">
        <v>0</v>
      </c>
      <c r="P13" s="25">
        <v>0</v>
      </c>
      <c r="Q13" s="26">
        <v>0</v>
      </c>
      <c r="R13" s="27">
        <v>6</v>
      </c>
      <c r="S13" s="19">
        <v>0</v>
      </c>
      <c r="T13" s="29">
        <v>2</v>
      </c>
      <c r="U13" s="28">
        <v>0</v>
      </c>
      <c r="V13" s="29">
        <v>0</v>
      </c>
      <c r="W13" s="26">
        <v>0</v>
      </c>
      <c r="X13" s="27">
        <v>2</v>
      </c>
      <c r="Y13" s="28">
        <v>0</v>
      </c>
      <c r="Z13" s="29">
        <v>4</v>
      </c>
    </row>
    <row r="14" spans="1:26" s="5" customFormat="1" ht="16.5" customHeight="1">
      <c r="A14" s="8"/>
      <c r="B14" s="9" t="s">
        <v>6</v>
      </c>
      <c r="C14" s="19">
        <f t="shared" si="1"/>
        <v>1</v>
      </c>
      <c r="D14" s="25">
        <f t="shared" si="1"/>
        <v>44</v>
      </c>
      <c r="E14" s="43">
        <v>0</v>
      </c>
      <c r="F14" s="27">
        <v>16</v>
      </c>
      <c r="G14" s="28">
        <v>0</v>
      </c>
      <c r="H14" s="25">
        <v>0</v>
      </c>
      <c r="I14" s="26">
        <v>0</v>
      </c>
      <c r="J14" s="27">
        <v>0</v>
      </c>
      <c r="K14" s="28">
        <v>0</v>
      </c>
      <c r="L14" s="25">
        <v>4</v>
      </c>
      <c r="M14" s="26">
        <v>0</v>
      </c>
      <c r="N14" s="27">
        <v>4</v>
      </c>
      <c r="O14" s="28">
        <v>0</v>
      </c>
      <c r="P14" s="25">
        <v>0</v>
      </c>
      <c r="Q14" s="26">
        <v>0</v>
      </c>
      <c r="R14" s="27">
        <v>3</v>
      </c>
      <c r="S14" s="19">
        <v>1</v>
      </c>
      <c r="T14" s="29">
        <v>1</v>
      </c>
      <c r="U14" s="28">
        <v>0</v>
      </c>
      <c r="V14" s="29">
        <v>2</v>
      </c>
      <c r="W14" s="26">
        <v>0</v>
      </c>
      <c r="X14" s="27">
        <v>1</v>
      </c>
      <c r="Y14" s="28">
        <v>0</v>
      </c>
      <c r="Z14" s="29">
        <v>13</v>
      </c>
    </row>
    <row r="15" spans="1:26" s="5" customFormat="1" ht="16.5" customHeight="1">
      <c r="A15" s="8"/>
      <c r="B15" s="9" t="s">
        <v>7</v>
      </c>
      <c r="C15" s="19">
        <f t="shared" si="1"/>
        <v>0</v>
      </c>
      <c r="D15" s="25">
        <f t="shared" si="1"/>
        <v>37</v>
      </c>
      <c r="E15" s="43">
        <v>0</v>
      </c>
      <c r="F15" s="27">
        <v>11</v>
      </c>
      <c r="G15" s="28">
        <v>0</v>
      </c>
      <c r="H15" s="25">
        <v>0</v>
      </c>
      <c r="I15" s="26">
        <v>0</v>
      </c>
      <c r="J15" s="27">
        <v>0</v>
      </c>
      <c r="K15" s="28">
        <v>0</v>
      </c>
      <c r="L15" s="25">
        <v>4</v>
      </c>
      <c r="M15" s="26">
        <v>0</v>
      </c>
      <c r="N15" s="27">
        <v>2</v>
      </c>
      <c r="O15" s="28">
        <v>0</v>
      </c>
      <c r="P15" s="25">
        <v>0</v>
      </c>
      <c r="Q15" s="26">
        <v>0</v>
      </c>
      <c r="R15" s="27">
        <v>7</v>
      </c>
      <c r="S15" s="19">
        <v>0</v>
      </c>
      <c r="T15" s="29">
        <v>1</v>
      </c>
      <c r="U15" s="28">
        <v>0</v>
      </c>
      <c r="V15" s="29">
        <v>3</v>
      </c>
      <c r="W15" s="26">
        <v>0</v>
      </c>
      <c r="X15" s="27">
        <v>1</v>
      </c>
      <c r="Y15" s="28">
        <v>0</v>
      </c>
      <c r="Z15" s="29">
        <v>8</v>
      </c>
    </row>
    <row r="16" spans="1:26" s="5" customFormat="1" ht="16.5" customHeight="1">
      <c r="A16" s="8"/>
      <c r="B16" s="9" t="s">
        <v>8</v>
      </c>
      <c r="C16" s="19">
        <f t="shared" si="1"/>
        <v>0</v>
      </c>
      <c r="D16" s="25">
        <f t="shared" si="1"/>
        <v>44</v>
      </c>
      <c r="E16" s="43">
        <v>0</v>
      </c>
      <c r="F16" s="27">
        <v>17</v>
      </c>
      <c r="G16" s="28">
        <v>0</v>
      </c>
      <c r="H16" s="25">
        <v>0</v>
      </c>
      <c r="I16" s="26">
        <v>0</v>
      </c>
      <c r="J16" s="27">
        <v>0</v>
      </c>
      <c r="K16" s="28">
        <v>0</v>
      </c>
      <c r="L16" s="25">
        <v>6</v>
      </c>
      <c r="M16" s="26">
        <v>0</v>
      </c>
      <c r="N16" s="27">
        <v>6</v>
      </c>
      <c r="O16" s="28">
        <v>0</v>
      </c>
      <c r="P16" s="25">
        <v>0</v>
      </c>
      <c r="Q16" s="26">
        <v>0</v>
      </c>
      <c r="R16" s="27">
        <v>4</v>
      </c>
      <c r="S16" s="19">
        <v>0</v>
      </c>
      <c r="T16" s="29">
        <v>6</v>
      </c>
      <c r="U16" s="28">
        <v>0</v>
      </c>
      <c r="V16" s="29">
        <v>0</v>
      </c>
      <c r="W16" s="26">
        <v>0</v>
      </c>
      <c r="X16" s="27">
        <v>2</v>
      </c>
      <c r="Y16" s="28">
        <v>0</v>
      </c>
      <c r="Z16" s="29">
        <v>3</v>
      </c>
    </row>
    <row r="17" spans="1:26" s="5" customFormat="1" ht="16.5" customHeight="1">
      <c r="A17" s="8"/>
      <c r="B17" s="9" t="s">
        <v>9</v>
      </c>
      <c r="C17" s="19">
        <f t="shared" si="1"/>
        <v>1</v>
      </c>
      <c r="D17" s="25">
        <f t="shared" si="1"/>
        <v>34</v>
      </c>
      <c r="E17" s="43">
        <v>0</v>
      </c>
      <c r="F17" s="27">
        <v>10</v>
      </c>
      <c r="G17" s="28">
        <v>0</v>
      </c>
      <c r="H17" s="25">
        <v>0</v>
      </c>
      <c r="I17" s="26">
        <v>0</v>
      </c>
      <c r="J17" s="27">
        <v>0</v>
      </c>
      <c r="K17" s="28">
        <v>1</v>
      </c>
      <c r="L17" s="25">
        <v>7</v>
      </c>
      <c r="M17" s="26">
        <v>0</v>
      </c>
      <c r="N17" s="27">
        <v>2</v>
      </c>
      <c r="O17" s="28">
        <v>0</v>
      </c>
      <c r="P17" s="25">
        <v>1</v>
      </c>
      <c r="Q17" s="26">
        <v>0</v>
      </c>
      <c r="R17" s="27">
        <v>4</v>
      </c>
      <c r="S17" s="19">
        <v>0</v>
      </c>
      <c r="T17" s="29">
        <v>3</v>
      </c>
      <c r="U17" s="28">
        <v>0</v>
      </c>
      <c r="V17" s="29">
        <v>3</v>
      </c>
      <c r="W17" s="26">
        <v>0</v>
      </c>
      <c r="X17" s="27">
        <v>1</v>
      </c>
      <c r="Y17" s="28">
        <v>0</v>
      </c>
      <c r="Z17" s="29">
        <v>3</v>
      </c>
    </row>
    <row r="18" spans="1:26" s="5" customFormat="1" ht="16.5" customHeight="1">
      <c r="A18" s="8"/>
      <c r="B18" s="9" t="s">
        <v>10</v>
      </c>
      <c r="C18" s="19">
        <f t="shared" si="1"/>
        <v>2</v>
      </c>
      <c r="D18" s="25">
        <f t="shared" si="1"/>
        <v>39</v>
      </c>
      <c r="E18" s="43">
        <v>1</v>
      </c>
      <c r="F18" s="27">
        <v>12</v>
      </c>
      <c r="G18" s="28">
        <v>0</v>
      </c>
      <c r="H18" s="25">
        <v>0</v>
      </c>
      <c r="I18" s="26">
        <v>0</v>
      </c>
      <c r="J18" s="27">
        <v>0</v>
      </c>
      <c r="K18" s="28">
        <v>1</v>
      </c>
      <c r="L18" s="25">
        <v>3</v>
      </c>
      <c r="M18" s="26">
        <v>0</v>
      </c>
      <c r="N18" s="27">
        <v>6</v>
      </c>
      <c r="O18" s="28">
        <v>0</v>
      </c>
      <c r="P18" s="25">
        <v>1</v>
      </c>
      <c r="Q18" s="26">
        <v>0</v>
      </c>
      <c r="R18" s="27">
        <v>3</v>
      </c>
      <c r="S18" s="19">
        <v>0</v>
      </c>
      <c r="T18" s="29">
        <v>2</v>
      </c>
      <c r="U18" s="28">
        <v>0</v>
      </c>
      <c r="V18" s="29">
        <v>4</v>
      </c>
      <c r="W18" s="26">
        <v>0</v>
      </c>
      <c r="X18" s="27">
        <v>2</v>
      </c>
      <c r="Y18" s="28">
        <v>0</v>
      </c>
      <c r="Z18" s="29">
        <v>6</v>
      </c>
    </row>
    <row r="19" spans="1:26" s="5" customFormat="1" ht="16.5" customHeight="1">
      <c r="A19" s="8"/>
      <c r="B19" s="9" t="s">
        <v>11</v>
      </c>
      <c r="C19" s="19">
        <f t="shared" si="1"/>
        <v>0</v>
      </c>
      <c r="D19" s="25">
        <f t="shared" si="1"/>
        <v>52</v>
      </c>
      <c r="E19" s="43">
        <v>0</v>
      </c>
      <c r="F19" s="27">
        <v>15</v>
      </c>
      <c r="G19" s="28">
        <v>0</v>
      </c>
      <c r="H19" s="25">
        <v>0</v>
      </c>
      <c r="I19" s="26">
        <v>0</v>
      </c>
      <c r="J19" s="27">
        <v>0</v>
      </c>
      <c r="K19" s="28">
        <v>0</v>
      </c>
      <c r="L19" s="25">
        <v>10</v>
      </c>
      <c r="M19" s="26">
        <v>0</v>
      </c>
      <c r="N19" s="27">
        <v>5</v>
      </c>
      <c r="O19" s="28">
        <v>0</v>
      </c>
      <c r="P19" s="25">
        <v>1</v>
      </c>
      <c r="Q19" s="26">
        <v>0</v>
      </c>
      <c r="R19" s="27">
        <v>10</v>
      </c>
      <c r="S19" s="19">
        <v>0</v>
      </c>
      <c r="T19" s="29">
        <v>2</v>
      </c>
      <c r="U19" s="28">
        <v>0</v>
      </c>
      <c r="V19" s="29">
        <v>3</v>
      </c>
      <c r="W19" s="26">
        <v>0</v>
      </c>
      <c r="X19" s="27">
        <v>1</v>
      </c>
      <c r="Y19" s="28">
        <v>0</v>
      </c>
      <c r="Z19" s="29">
        <v>5</v>
      </c>
    </row>
    <row r="20" spans="1:26" s="5" customFormat="1" ht="16.5" customHeight="1">
      <c r="A20" s="8"/>
      <c r="B20" s="9" t="s">
        <v>12</v>
      </c>
      <c r="C20" s="19">
        <f t="shared" si="1"/>
        <v>2</v>
      </c>
      <c r="D20" s="25">
        <f t="shared" si="1"/>
        <v>48</v>
      </c>
      <c r="E20" s="43">
        <v>0</v>
      </c>
      <c r="F20" s="27">
        <v>13</v>
      </c>
      <c r="G20" s="28">
        <v>0</v>
      </c>
      <c r="H20" s="25">
        <v>0</v>
      </c>
      <c r="I20" s="26">
        <v>0</v>
      </c>
      <c r="J20" s="27">
        <v>0</v>
      </c>
      <c r="K20" s="28">
        <v>1</v>
      </c>
      <c r="L20" s="25">
        <v>4</v>
      </c>
      <c r="M20" s="26">
        <v>0</v>
      </c>
      <c r="N20" s="27">
        <v>7</v>
      </c>
      <c r="O20" s="28">
        <v>0</v>
      </c>
      <c r="P20" s="25">
        <v>3</v>
      </c>
      <c r="Q20" s="26">
        <v>1</v>
      </c>
      <c r="R20" s="27">
        <v>9</v>
      </c>
      <c r="S20" s="19">
        <v>0</v>
      </c>
      <c r="T20" s="29">
        <v>7</v>
      </c>
      <c r="U20" s="28">
        <v>0</v>
      </c>
      <c r="V20" s="29">
        <v>0</v>
      </c>
      <c r="W20" s="26">
        <v>0</v>
      </c>
      <c r="X20" s="27">
        <v>2</v>
      </c>
      <c r="Y20" s="28">
        <v>0</v>
      </c>
      <c r="Z20" s="29">
        <v>3</v>
      </c>
    </row>
    <row r="21" spans="1:26" s="5" customFormat="1" ht="16.5" customHeight="1">
      <c r="A21" s="10"/>
      <c r="B21" s="11" t="s">
        <v>13</v>
      </c>
      <c r="C21" s="21">
        <f t="shared" si="1"/>
        <v>0</v>
      </c>
      <c r="D21" s="35">
        <f t="shared" si="1"/>
        <v>31</v>
      </c>
      <c r="E21" s="46">
        <v>0</v>
      </c>
      <c r="F21" s="37">
        <v>8</v>
      </c>
      <c r="G21" s="38"/>
      <c r="H21" s="35"/>
      <c r="I21" s="36"/>
      <c r="J21" s="37"/>
      <c r="K21" s="38">
        <v>0</v>
      </c>
      <c r="L21" s="35">
        <v>6</v>
      </c>
      <c r="M21" s="36">
        <v>0</v>
      </c>
      <c r="N21" s="37">
        <v>3</v>
      </c>
      <c r="O21" s="38">
        <v>0</v>
      </c>
      <c r="P21" s="35">
        <v>1</v>
      </c>
      <c r="Q21" s="36">
        <v>0</v>
      </c>
      <c r="R21" s="37">
        <v>2</v>
      </c>
      <c r="S21" s="21">
        <v>0</v>
      </c>
      <c r="T21" s="39">
        <v>4</v>
      </c>
      <c r="U21" s="38">
        <v>0</v>
      </c>
      <c r="V21" s="39">
        <v>1</v>
      </c>
      <c r="W21" s="36">
        <v>0</v>
      </c>
      <c r="X21" s="37">
        <v>1</v>
      </c>
      <c r="Y21" s="38">
        <v>0</v>
      </c>
      <c r="Z21" s="39">
        <v>5</v>
      </c>
    </row>
    <row r="22" s="5" customFormat="1" ht="16.5" customHeight="1">
      <c r="A22" s="5" t="s">
        <v>28</v>
      </c>
    </row>
    <row r="23" s="2" customFormat="1" ht="16.5" customHeight="1">
      <c r="A23" s="5" t="s">
        <v>34</v>
      </c>
    </row>
    <row r="24" s="5" customFormat="1" ht="16.5" customHeight="1">
      <c r="A24" s="5" t="s">
        <v>30</v>
      </c>
    </row>
    <row r="25" s="5" customFormat="1" ht="16.5" customHeight="1">
      <c r="B25" s="5" t="s">
        <v>31</v>
      </c>
    </row>
    <row r="26" s="5" customFormat="1" ht="16.5" customHeight="1">
      <c r="B26" s="5" t="s">
        <v>32</v>
      </c>
    </row>
    <row r="27" s="5" customFormat="1" ht="16.5" customHeight="1">
      <c r="B27" s="5" t="s">
        <v>33</v>
      </c>
    </row>
    <row r="28" s="5" customFormat="1" ht="16.5" customHeight="1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</sheetData>
  <sheetProtection/>
  <mergeCells count="13">
    <mergeCell ref="W4:X4"/>
    <mergeCell ref="Y4:Z4"/>
    <mergeCell ref="U4:V4"/>
    <mergeCell ref="I4:J4"/>
    <mergeCell ref="K4:L4"/>
    <mergeCell ref="M4:N4"/>
    <mergeCell ref="O4:P4"/>
    <mergeCell ref="A4:B5"/>
    <mergeCell ref="C4:D4"/>
    <mergeCell ref="E4:F4"/>
    <mergeCell ref="G4:H4"/>
    <mergeCell ref="Q4:R4"/>
    <mergeCell ref="S4:T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4" width="6.625" style="1" customWidth="1"/>
    <col min="25" max="16384" width="9.00390625" style="1" customWidth="1"/>
  </cols>
  <sheetData>
    <row r="1" ht="16.5" customHeight="1">
      <c r="A1" s="3" t="s">
        <v>69</v>
      </c>
    </row>
    <row r="2" ht="13.5" customHeight="1"/>
    <row r="3" spans="1:4" s="5" customFormat="1" ht="16.5" customHeight="1">
      <c r="A3" s="4" t="s">
        <v>14</v>
      </c>
      <c r="D3" s="41"/>
    </row>
    <row r="4" spans="1:24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21</v>
      </c>
      <c r="V4" s="94"/>
      <c r="W4" s="91" t="s">
        <v>22</v>
      </c>
      <c r="X4" s="94"/>
    </row>
    <row r="5" spans="1:24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23" t="s">
        <v>15</v>
      </c>
      <c r="V5" s="13" t="s">
        <v>16</v>
      </c>
      <c r="W5" s="17" t="s">
        <v>15</v>
      </c>
      <c r="X5" s="24" t="s">
        <v>16</v>
      </c>
    </row>
    <row r="6" spans="1:24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6">
        <v>1</v>
      </c>
      <c r="V6" s="27">
        <v>25</v>
      </c>
      <c r="W6" s="28">
        <v>0</v>
      </c>
      <c r="X6" s="29">
        <v>84</v>
      </c>
    </row>
    <row r="7" spans="1:24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19">
        <v>0</v>
      </c>
      <c r="V7" s="25">
        <v>10</v>
      </c>
      <c r="W7" s="19">
        <v>1</v>
      </c>
      <c r="X7" s="29">
        <v>87</v>
      </c>
    </row>
    <row r="8" spans="1:24" s="5" customFormat="1" ht="18.75" customHeight="1" thickBot="1">
      <c r="A8" s="47" t="s">
        <v>42</v>
      </c>
      <c r="B8" s="48" t="s">
        <v>1</v>
      </c>
      <c r="C8" s="49">
        <f aca="true" t="shared" si="0" ref="C8:H8">SUM(C9:C20)</f>
        <v>11</v>
      </c>
      <c r="D8" s="50">
        <f t="shared" si="0"/>
        <v>515</v>
      </c>
      <c r="E8" s="51">
        <f t="shared" si="0"/>
        <v>1</v>
      </c>
      <c r="F8" s="40">
        <f t="shared" si="0"/>
        <v>159</v>
      </c>
      <c r="G8" s="49">
        <f t="shared" si="0"/>
        <v>0</v>
      </c>
      <c r="H8" s="50">
        <f t="shared" si="0"/>
        <v>0</v>
      </c>
      <c r="I8" s="49">
        <f aca="true" t="shared" si="1" ref="I8:X8">SUM(I9:I20)</f>
        <v>0</v>
      </c>
      <c r="J8" s="50">
        <f t="shared" si="1"/>
        <v>0</v>
      </c>
      <c r="K8" s="49">
        <f t="shared" si="1"/>
        <v>4</v>
      </c>
      <c r="L8" s="50">
        <f t="shared" si="1"/>
        <v>66</v>
      </c>
      <c r="M8" s="49">
        <f t="shared" si="1"/>
        <v>4</v>
      </c>
      <c r="N8" s="50">
        <f t="shared" si="1"/>
        <v>64</v>
      </c>
      <c r="O8" s="49">
        <f t="shared" si="1"/>
        <v>0</v>
      </c>
      <c r="P8" s="50">
        <f t="shared" si="1"/>
        <v>15</v>
      </c>
      <c r="Q8" s="49">
        <f t="shared" si="1"/>
        <v>2</v>
      </c>
      <c r="R8" s="50">
        <f t="shared" si="1"/>
        <v>71</v>
      </c>
      <c r="S8" s="49">
        <f t="shared" si="1"/>
        <v>0</v>
      </c>
      <c r="T8" s="50">
        <f t="shared" si="1"/>
        <v>39</v>
      </c>
      <c r="U8" s="49">
        <f t="shared" si="1"/>
        <v>0</v>
      </c>
      <c r="V8" s="50">
        <f t="shared" si="1"/>
        <v>19</v>
      </c>
      <c r="W8" s="49">
        <f t="shared" si="1"/>
        <v>0</v>
      </c>
      <c r="X8" s="40">
        <f t="shared" si="1"/>
        <v>82</v>
      </c>
    </row>
    <row r="9" spans="1:24" s="5" customFormat="1" ht="16.5" customHeight="1" thickTop="1">
      <c r="A9" s="15" t="s">
        <v>42</v>
      </c>
      <c r="B9" s="16" t="s">
        <v>2</v>
      </c>
      <c r="C9" s="20">
        <f aca="true" t="shared" si="2" ref="C9:D20">E9+G9+I9+K9+M9+O9+Q9+S9+U9+W9</f>
        <v>3</v>
      </c>
      <c r="D9" s="30">
        <f t="shared" si="2"/>
        <v>42</v>
      </c>
      <c r="E9" s="45">
        <v>0</v>
      </c>
      <c r="F9" s="32">
        <v>15</v>
      </c>
      <c r="G9" s="33">
        <v>0</v>
      </c>
      <c r="H9" s="30">
        <v>0</v>
      </c>
      <c r="I9" s="31">
        <v>0</v>
      </c>
      <c r="J9" s="32">
        <v>0</v>
      </c>
      <c r="K9" s="33">
        <v>3</v>
      </c>
      <c r="L9" s="30">
        <v>7</v>
      </c>
      <c r="M9" s="31">
        <v>0</v>
      </c>
      <c r="N9" s="32">
        <v>6</v>
      </c>
      <c r="O9" s="33">
        <v>0</v>
      </c>
      <c r="P9" s="30">
        <v>0</v>
      </c>
      <c r="Q9" s="31">
        <v>0</v>
      </c>
      <c r="R9" s="32">
        <v>4</v>
      </c>
      <c r="S9" s="20">
        <v>0</v>
      </c>
      <c r="T9" s="34">
        <v>4</v>
      </c>
      <c r="U9" s="31">
        <v>0</v>
      </c>
      <c r="V9" s="32">
        <v>2</v>
      </c>
      <c r="W9" s="33">
        <v>0</v>
      </c>
      <c r="X9" s="34">
        <v>4</v>
      </c>
    </row>
    <row r="10" spans="1:24" s="5" customFormat="1" ht="16.5" customHeight="1">
      <c r="A10" s="8"/>
      <c r="B10" s="9" t="s">
        <v>3</v>
      </c>
      <c r="C10" s="19">
        <f t="shared" si="2"/>
        <v>1</v>
      </c>
      <c r="D10" s="25">
        <f t="shared" si="2"/>
        <v>45</v>
      </c>
      <c r="E10" s="43">
        <v>0</v>
      </c>
      <c r="F10" s="27">
        <v>6</v>
      </c>
      <c r="G10" s="28">
        <v>0</v>
      </c>
      <c r="H10" s="25">
        <v>0</v>
      </c>
      <c r="I10" s="26">
        <v>0</v>
      </c>
      <c r="J10" s="27">
        <v>0</v>
      </c>
      <c r="K10" s="28">
        <v>1</v>
      </c>
      <c r="L10" s="25">
        <v>3</v>
      </c>
      <c r="M10" s="26">
        <v>0</v>
      </c>
      <c r="N10" s="27">
        <v>5</v>
      </c>
      <c r="O10" s="28">
        <v>0</v>
      </c>
      <c r="P10" s="25">
        <v>0</v>
      </c>
      <c r="Q10" s="26">
        <v>0</v>
      </c>
      <c r="R10" s="27">
        <v>12</v>
      </c>
      <c r="S10" s="19">
        <v>0</v>
      </c>
      <c r="T10" s="29">
        <v>8</v>
      </c>
      <c r="U10" s="26">
        <v>0</v>
      </c>
      <c r="V10" s="27">
        <v>2</v>
      </c>
      <c r="W10" s="28">
        <v>0</v>
      </c>
      <c r="X10" s="29">
        <v>9</v>
      </c>
    </row>
    <row r="11" spans="1:24" s="5" customFormat="1" ht="16.5" customHeight="1">
      <c r="A11" s="8"/>
      <c r="B11" s="9" t="s">
        <v>4</v>
      </c>
      <c r="C11" s="19">
        <f t="shared" si="2"/>
        <v>0</v>
      </c>
      <c r="D11" s="25">
        <f t="shared" si="2"/>
        <v>36</v>
      </c>
      <c r="E11" s="43">
        <v>0</v>
      </c>
      <c r="F11" s="27">
        <v>12</v>
      </c>
      <c r="G11" s="28">
        <v>0</v>
      </c>
      <c r="H11" s="25">
        <v>0</v>
      </c>
      <c r="I11" s="26">
        <v>0</v>
      </c>
      <c r="J11" s="27">
        <v>0</v>
      </c>
      <c r="K11" s="28">
        <v>0</v>
      </c>
      <c r="L11" s="25">
        <v>1</v>
      </c>
      <c r="M11" s="26">
        <v>0</v>
      </c>
      <c r="N11" s="27">
        <v>6</v>
      </c>
      <c r="O11" s="28">
        <v>0</v>
      </c>
      <c r="P11" s="25">
        <v>0</v>
      </c>
      <c r="Q11" s="26">
        <v>0</v>
      </c>
      <c r="R11" s="27">
        <v>3</v>
      </c>
      <c r="S11" s="19">
        <v>0</v>
      </c>
      <c r="T11" s="29">
        <v>5</v>
      </c>
      <c r="U11" s="26">
        <v>0</v>
      </c>
      <c r="V11" s="27">
        <v>3</v>
      </c>
      <c r="W11" s="28">
        <v>0</v>
      </c>
      <c r="X11" s="29">
        <v>6</v>
      </c>
    </row>
    <row r="12" spans="1:24" s="5" customFormat="1" ht="16.5" customHeight="1">
      <c r="A12" s="8"/>
      <c r="B12" s="9" t="s">
        <v>5</v>
      </c>
      <c r="C12" s="19">
        <f t="shared" si="2"/>
        <v>0</v>
      </c>
      <c r="D12" s="25">
        <f t="shared" si="2"/>
        <v>36</v>
      </c>
      <c r="E12" s="43">
        <v>0</v>
      </c>
      <c r="F12" s="27">
        <v>11</v>
      </c>
      <c r="G12" s="28">
        <v>0</v>
      </c>
      <c r="H12" s="25">
        <v>0</v>
      </c>
      <c r="I12" s="26">
        <v>0</v>
      </c>
      <c r="J12" s="27">
        <v>0</v>
      </c>
      <c r="K12" s="28">
        <v>0</v>
      </c>
      <c r="L12" s="25">
        <v>7</v>
      </c>
      <c r="M12" s="26">
        <v>0</v>
      </c>
      <c r="N12" s="27">
        <v>4</v>
      </c>
      <c r="O12" s="28">
        <v>0</v>
      </c>
      <c r="P12" s="25">
        <v>0</v>
      </c>
      <c r="Q12" s="26">
        <v>0</v>
      </c>
      <c r="R12" s="27">
        <v>6</v>
      </c>
      <c r="S12" s="19">
        <v>0</v>
      </c>
      <c r="T12" s="29">
        <v>2</v>
      </c>
      <c r="U12" s="26">
        <v>0</v>
      </c>
      <c r="V12" s="27">
        <v>2</v>
      </c>
      <c r="W12" s="28">
        <v>0</v>
      </c>
      <c r="X12" s="29">
        <v>4</v>
      </c>
    </row>
    <row r="13" spans="1:24" s="5" customFormat="1" ht="16.5" customHeight="1">
      <c r="A13" s="8"/>
      <c r="B13" s="9" t="s">
        <v>6</v>
      </c>
      <c r="C13" s="19">
        <f t="shared" si="2"/>
        <v>0</v>
      </c>
      <c r="D13" s="25">
        <f t="shared" si="2"/>
        <v>38</v>
      </c>
      <c r="E13" s="43">
        <v>0</v>
      </c>
      <c r="F13" s="27">
        <v>8</v>
      </c>
      <c r="G13" s="28">
        <v>0</v>
      </c>
      <c r="H13" s="25">
        <v>0</v>
      </c>
      <c r="I13" s="26">
        <v>0</v>
      </c>
      <c r="J13" s="27">
        <v>0</v>
      </c>
      <c r="K13" s="28">
        <v>0</v>
      </c>
      <c r="L13" s="25">
        <v>4</v>
      </c>
      <c r="M13" s="26">
        <v>0</v>
      </c>
      <c r="N13" s="27">
        <v>7</v>
      </c>
      <c r="O13" s="28">
        <v>0</v>
      </c>
      <c r="P13" s="25">
        <v>0</v>
      </c>
      <c r="Q13" s="26">
        <v>0</v>
      </c>
      <c r="R13" s="27">
        <v>6</v>
      </c>
      <c r="S13" s="19">
        <v>0</v>
      </c>
      <c r="T13" s="29">
        <v>2</v>
      </c>
      <c r="U13" s="26">
        <v>0</v>
      </c>
      <c r="V13" s="27">
        <v>4</v>
      </c>
      <c r="W13" s="28">
        <v>0</v>
      </c>
      <c r="X13" s="29">
        <v>7</v>
      </c>
    </row>
    <row r="14" spans="1:24" s="5" customFormat="1" ht="16.5" customHeight="1">
      <c r="A14" s="8"/>
      <c r="B14" s="9" t="s">
        <v>7</v>
      </c>
      <c r="C14" s="19">
        <f t="shared" si="2"/>
        <v>1</v>
      </c>
      <c r="D14" s="25">
        <f t="shared" si="2"/>
        <v>38</v>
      </c>
      <c r="E14" s="43">
        <v>0</v>
      </c>
      <c r="F14" s="27">
        <v>10</v>
      </c>
      <c r="G14" s="28">
        <v>0</v>
      </c>
      <c r="H14" s="25">
        <v>0</v>
      </c>
      <c r="I14" s="26">
        <v>0</v>
      </c>
      <c r="J14" s="27">
        <v>0</v>
      </c>
      <c r="K14" s="28">
        <v>0</v>
      </c>
      <c r="L14" s="25">
        <v>9</v>
      </c>
      <c r="M14" s="26">
        <v>1</v>
      </c>
      <c r="N14" s="27">
        <v>0</v>
      </c>
      <c r="O14" s="28">
        <v>0</v>
      </c>
      <c r="P14" s="25">
        <v>1</v>
      </c>
      <c r="Q14" s="26">
        <v>0</v>
      </c>
      <c r="R14" s="27">
        <v>8</v>
      </c>
      <c r="S14" s="19">
        <v>0</v>
      </c>
      <c r="T14" s="29">
        <v>2</v>
      </c>
      <c r="U14" s="26">
        <v>0</v>
      </c>
      <c r="V14" s="27">
        <v>1</v>
      </c>
      <c r="W14" s="28">
        <v>0</v>
      </c>
      <c r="X14" s="29">
        <v>7</v>
      </c>
    </row>
    <row r="15" spans="1:24" s="5" customFormat="1" ht="16.5" customHeight="1">
      <c r="A15" s="8"/>
      <c r="B15" s="9" t="s">
        <v>8</v>
      </c>
      <c r="C15" s="19">
        <f t="shared" si="2"/>
        <v>1</v>
      </c>
      <c r="D15" s="25">
        <f t="shared" si="2"/>
        <v>32</v>
      </c>
      <c r="E15" s="43">
        <v>0</v>
      </c>
      <c r="F15" s="27">
        <v>10</v>
      </c>
      <c r="G15" s="28">
        <v>0</v>
      </c>
      <c r="H15" s="25">
        <v>0</v>
      </c>
      <c r="I15" s="26">
        <v>0</v>
      </c>
      <c r="J15" s="27">
        <v>0</v>
      </c>
      <c r="K15" s="28">
        <v>0</v>
      </c>
      <c r="L15" s="25">
        <v>2</v>
      </c>
      <c r="M15" s="26">
        <v>1</v>
      </c>
      <c r="N15" s="27">
        <v>4</v>
      </c>
      <c r="O15" s="28">
        <v>0</v>
      </c>
      <c r="P15" s="25">
        <v>1</v>
      </c>
      <c r="Q15" s="26">
        <v>0</v>
      </c>
      <c r="R15" s="27">
        <v>5</v>
      </c>
      <c r="S15" s="19">
        <v>0</v>
      </c>
      <c r="T15" s="29">
        <v>1</v>
      </c>
      <c r="U15" s="26">
        <v>0</v>
      </c>
      <c r="V15" s="27">
        <v>1</v>
      </c>
      <c r="W15" s="28">
        <v>0</v>
      </c>
      <c r="X15" s="29">
        <v>8</v>
      </c>
    </row>
    <row r="16" spans="1:24" s="5" customFormat="1" ht="16.5" customHeight="1">
      <c r="A16" s="8"/>
      <c r="B16" s="9" t="s">
        <v>9</v>
      </c>
      <c r="C16" s="19">
        <f t="shared" si="2"/>
        <v>2</v>
      </c>
      <c r="D16" s="25">
        <f t="shared" si="2"/>
        <v>49</v>
      </c>
      <c r="E16" s="43">
        <v>0</v>
      </c>
      <c r="F16" s="27">
        <v>16</v>
      </c>
      <c r="G16" s="28">
        <v>0</v>
      </c>
      <c r="H16" s="25">
        <v>0</v>
      </c>
      <c r="I16" s="26">
        <v>0</v>
      </c>
      <c r="J16" s="27">
        <v>0</v>
      </c>
      <c r="K16" s="28">
        <v>0</v>
      </c>
      <c r="L16" s="25">
        <v>4</v>
      </c>
      <c r="M16" s="26">
        <v>1</v>
      </c>
      <c r="N16" s="27">
        <v>5</v>
      </c>
      <c r="O16" s="28">
        <v>0</v>
      </c>
      <c r="P16" s="25">
        <v>7</v>
      </c>
      <c r="Q16" s="26">
        <v>1</v>
      </c>
      <c r="R16" s="27">
        <v>7</v>
      </c>
      <c r="S16" s="19">
        <v>0</v>
      </c>
      <c r="T16" s="29">
        <v>3</v>
      </c>
      <c r="U16" s="26">
        <v>0</v>
      </c>
      <c r="V16" s="27">
        <v>0</v>
      </c>
      <c r="W16" s="28">
        <v>0</v>
      </c>
      <c r="X16" s="29">
        <v>7</v>
      </c>
    </row>
    <row r="17" spans="1:24" s="5" customFormat="1" ht="16.5" customHeight="1">
      <c r="A17" s="8"/>
      <c r="B17" s="9" t="s">
        <v>10</v>
      </c>
      <c r="C17" s="19">
        <f t="shared" si="2"/>
        <v>0</v>
      </c>
      <c r="D17" s="25">
        <f t="shared" si="2"/>
        <v>47</v>
      </c>
      <c r="E17" s="43">
        <v>0</v>
      </c>
      <c r="F17" s="27">
        <v>16</v>
      </c>
      <c r="G17" s="28">
        <v>0</v>
      </c>
      <c r="H17" s="25">
        <v>0</v>
      </c>
      <c r="I17" s="26">
        <v>0</v>
      </c>
      <c r="J17" s="27">
        <v>0</v>
      </c>
      <c r="K17" s="28">
        <v>0</v>
      </c>
      <c r="L17" s="25">
        <v>5</v>
      </c>
      <c r="M17" s="26">
        <v>0</v>
      </c>
      <c r="N17" s="27">
        <v>5</v>
      </c>
      <c r="O17" s="28">
        <v>0</v>
      </c>
      <c r="P17" s="25">
        <v>2</v>
      </c>
      <c r="Q17" s="26">
        <v>0</v>
      </c>
      <c r="R17" s="27">
        <v>5</v>
      </c>
      <c r="S17" s="19">
        <v>0</v>
      </c>
      <c r="T17" s="29">
        <v>3</v>
      </c>
      <c r="U17" s="26">
        <v>0</v>
      </c>
      <c r="V17" s="27">
        <v>1</v>
      </c>
      <c r="W17" s="28">
        <v>0</v>
      </c>
      <c r="X17" s="29">
        <v>10</v>
      </c>
    </row>
    <row r="18" spans="1:24" s="5" customFormat="1" ht="16.5" customHeight="1">
      <c r="A18" s="8"/>
      <c r="B18" s="9" t="s">
        <v>11</v>
      </c>
      <c r="C18" s="19">
        <f t="shared" si="2"/>
        <v>1</v>
      </c>
      <c r="D18" s="25">
        <f t="shared" si="2"/>
        <v>51</v>
      </c>
      <c r="E18" s="43">
        <v>1</v>
      </c>
      <c r="F18" s="27">
        <v>18</v>
      </c>
      <c r="G18" s="28">
        <v>0</v>
      </c>
      <c r="H18" s="25">
        <v>0</v>
      </c>
      <c r="I18" s="26">
        <v>0</v>
      </c>
      <c r="J18" s="27">
        <v>0</v>
      </c>
      <c r="K18" s="28">
        <v>0</v>
      </c>
      <c r="L18" s="25">
        <v>8</v>
      </c>
      <c r="M18" s="26">
        <v>0</v>
      </c>
      <c r="N18" s="27">
        <v>10</v>
      </c>
      <c r="O18" s="28">
        <v>0</v>
      </c>
      <c r="P18" s="25">
        <v>0</v>
      </c>
      <c r="Q18" s="26">
        <v>0</v>
      </c>
      <c r="R18" s="27">
        <v>3</v>
      </c>
      <c r="S18" s="19">
        <v>0</v>
      </c>
      <c r="T18" s="29">
        <v>3</v>
      </c>
      <c r="U18" s="26">
        <v>0</v>
      </c>
      <c r="V18" s="27">
        <v>0</v>
      </c>
      <c r="W18" s="28">
        <v>0</v>
      </c>
      <c r="X18" s="29">
        <v>9</v>
      </c>
    </row>
    <row r="19" spans="1:24" s="5" customFormat="1" ht="16.5" customHeight="1">
      <c r="A19" s="8"/>
      <c r="B19" s="9" t="s">
        <v>12</v>
      </c>
      <c r="C19" s="19">
        <f t="shared" si="2"/>
        <v>2</v>
      </c>
      <c r="D19" s="25">
        <f t="shared" si="2"/>
        <v>66</v>
      </c>
      <c r="E19" s="43">
        <v>0</v>
      </c>
      <c r="F19" s="27">
        <v>25</v>
      </c>
      <c r="G19" s="28">
        <v>0</v>
      </c>
      <c r="H19" s="25">
        <v>0</v>
      </c>
      <c r="I19" s="26">
        <v>0</v>
      </c>
      <c r="J19" s="27">
        <v>0</v>
      </c>
      <c r="K19" s="28">
        <v>0</v>
      </c>
      <c r="L19" s="25">
        <v>10</v>
      </c>
      <c r="M19" s="26">
        <v>1</v>
      </c>
      <c r="N19" s="27">
        <v>8</v>
      </c>
      <c r="O19" s="28">
        <v>0</v>
      </c>
      <c r="P19" s="25">
        <v>1</v>
      </c>
      <c r="Q19" s="26">
        <v>1</v>
      </c>
      <c r="R19" s="27">
        <v>5</v>
      </c>
      <c r="S19" s="19">
        <v>0</v>
      </c>
      <c r="T19" s="29">
        <v>5</v>
      </c>
      <c r="U19" s="26">
        <v>0</v>
      </c>
      <c r="V19" s="27">
        <v>3</v>
      </c>
      <c r="W19" s="28">
        <v>0</v>
      </c>
      <c r="X19" s="29">
        <v>9</v>
      </c>
    </row>
    <row r="20" spans="1:24" s="5" customFormat="1" ht="16.5" customHeight="1">
      <c r="A20" s="10"/>
      <c r="B20" s="11" t="s">
        <v>13</v>
      </c>
      <c r="C20" s="21">
        <f t="shared" si="2"/>
        <v>0</v>
      </c>
      <c r="D20" s="35">
        <f t="shared" si="2"/>
        <v>35</v>
      </c>
      <c r="E20" s="46">
        <v>0</v>
      </c>
      <c r="F20" s="37">
        <v>12</v>
      </c>
      <c r="G20" s="38">
        <v>0</v>
      </c>
      <c r="H20" s="35">
        <v>0</v>
      </c>
      <c r="I20" s="36">
        <v>0</v>
      </c>
      <c r="J20" s="37">
        <v>0</v>
      </c>
      <c r="K20" s="38">
        <v>0</v>
      </c>
      <c r="L20" s="35">
        <v>6</v>
      </c>
      <c r="M20" s="36">
        <v>0</v>
      </c>
      <c r="N20" s="37">
        <v>4</v>
      </c>
      <c r="O20" s="38">
        <v>0</v>
      </c>
      <c r="P20" s="35">
        <v>3</v>
      </c>
      <c r="Q20" s="36">
        <v>0</v>
      </c>
      <c r="R20" s="37">
        <v>7</v>
      </c>
      <c r="S20" s="21">
        <v>0</v>
      </c>
      <c r="T20" s="39">
        <v>1</v>
      </c>
      <c r="U20" s="36">
        <v>0</v>
      </c>
      <c r="V20" s="37">
        <v>0</v>
      </c>
      <c r="W20" s="38">
        <v>0</v>
      </c>
      <c r="X20" s="39">
        <v>2</v>
      </c>
    </row>
    <row r="21" s="5" customFormat="1" ht="16.5" customHeight="1">
      <c r="A21" s="5" t="s">
        <v>28</v>
      </c>
    </row>
    <row r="22" s="2" customFormat="1" ht="16.5" customHeight="1">
      <c r="A22" s="5" t="s">
        <v>34</v>
      </c>
    </row>
    <row r="23" s="5" customFormat="1" ht="16.5" customHeight="1">
      <c r="A23" s="5" t="s">
        <v>30</v>
      </c>
    </row>
    <row r="24" s="5" customFormat="1" ht="16.5" customHeight="1">
      <c r="B24" s="5" t="s">
        <v>31</v>
      </c>
    </row>
    <row r="25" s="5" customFormat="1" ht="16.5" customHeight="1">
      <c r="B25" s="5" t="s">
        <v>32</v>
      </c>
    </row>
    <row r="26" s="5" customFormat="1" ht="16.5" customHeight="1">
      <c r="B26" s="5" t="s">
        <v>33</v>
      </c>
    </row>
    <row r="27" s="5" customFormat="1" ht="16.5" customHeight="1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</sheetData>
  <sheetProtection/>
  <mergeCells count="12"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4" width="6.625" style="1" customWidth="1"/>
    <col min="25" max="16384" width="9.00390625" style="1" customWidth="1"/>
  </cols>
  <sheetData>
    <row r="1" ht="16.5" customHeight="1">
      <c r="A1" s="3" t="s">
        <v>70</v>
      </c>
    </row>
    <row r="2" ht="13.5" customHeight="1"/>
    <row r="3" spans="1:4" s="5" customFormat="1" ht="16.5" customHeight="1">
      <c r="A3" s="4" t="s">
        <v>14</v>
      </c>
      <c r="D3" s="41"/>
    </row>
    <row r="4" spans="1:24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21</v>
      </c>
      <c r="V4" s="94"/>
      <c r="W4" s="91" t="s">
        <v>22</v>
      </c>
      <c r="X4" s="94"/>
    </row>
    <row r="5" spans="1:24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23" t="s">
        <v>15</v>
      </c>
      <c r="V5" s="13" t="s">
        <v>16</v>
      </c>
      <c r="W5" s="17" t="s">
        <v>15</v>
      </c>
      <c r="X5" s="24" t="s">
        <v>16</v>
      </c>
    </row>
    <row r="6" spans="1:24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6">
        <v>1</v>
      </c>
      <c r="V6" s="27">
        <v>25</v>
      </c>
      <c r="W6" s="28">
        <v>0</v>
      </c>
      <c r="X6" s="29">
        <v>84</v>
      </c>
    </row>
    <row r="7" spans="1:24" s="5" customFormat="1" ht="18.75" customHeight="1" thickBot="1">
      <c r="A7" s="8" t="s">
        <v>41</v>
      </c>
      <c r="B7" s="14" t="s">
        <v>1</v>
      </c>
      <c r="C7" s="19">
        <f>SUM(C8:C19)</f>
        <v>5</v>
      </c>
      <c r="D7" s="25">
        <f>SUM(D8:D19)</f>
        <v>548</v>
      </c>
      <c r="E7" s="44">
        <f aca="true" t="shared" si="0" ref="E7:X7">SUM(E8:E19)</f>
        <v>1</v>
      </c>
      <c r="F7" s="29">
        <f t="shared" si="0"/>
        <v>170</v>
      </c>
      <c r="G7" s="19">
        <f t="shared" si="0"/>
        <v>0</v>
      </c>
      <c r="H7" s="25">
        <f t="shared" si="0"/>
        <v>0</v>
      </c>
      <c r="I7" s="19">
        <f t="shared" si="0"/>
        <v>0</v>
      </c>
      <c r="J7" s="25">
        <f t="shared" si="0"/>
        <v>2</v>
      </c>
      <c r="K7" s="19">
        <f t="shared" si="0"/>
        <v>0</v>
      </c>
      <c r="L7" s="25">
        <f t="shared" si="0"/>
        <v>88</v>
      </c>
      <c r="M7" s="19">
        <f t="shared" si="0"/>
        <v>1</v>
      </c>
      <c r="N7" s="25">
        <f t="shared" si="0"/>
        <v>79</v>
      </c>
      <c r="O7" s="19">
        <f t="shared" si="0"/>
        <v>1</v>
      </c>
      <c r="P7" s="25">
        <f t="shared" si="0"/>
        <v>8</v>
      </c>
      <c r="Q7" s="19">
        <f t="shared" si="0"/>
        <v>1</v>
      </c>
      <c r="R7" s="29">
        <f t="shared" si="0"/>
        <v>69</v>
      </c>
      <c r="S7" s="19">
        <f t="shared" si="0"/>
        <v>0</v>
      </c>
      <c r="T7" s="29">
        <f t="shared" si="0"/>
        <v>35</v>
      </c>
      <c r="U7" s="19">
        <f t="shared" si="0"/>
        <v>0</v>
      </c>
      <c r="V7" s="25">
        <f t="shared" si="0"/>
        <v>10</v>
      </c>
      <c r="W7" s="19">
        <f t="shared" si="0"/>
        <v>1</v>
      </c>
      <c r="X7" s="40">
        <f t="shared" si="0"/>
        <v>87</v>
      </c>
    </row>
    <row r="8" spans="1:24" s="5" customFormat="1" ht="16.5" customHeight="1" thickTop="1">
      <c r="A8" s="15" t="s">
        <v>41</v>
      </c>
      <c r="B8" s="16" t="s">
        <v>2</v>
      </c>
      <c r="C8" s="20">
        <f aca="true" t="shared" si="1" ref="C8:D11">E8+G8+I8+K8+M8+O8+Q8+S8+U8+W8</f>
        <v>0</v>
      </c>
      <c r="D8" s="30">
        <f t="shared" si="1"/>
        <v>16</v>
      </c>
      <c r="E8" s="45">
        <v>0</v>
      </c>
      <c r="F8" s="32">
        <v>5</v>
      </c>
      <c r="G8" s="33">
        <v>0</v>
      </c>
      <c r="H8" s="30">
        <v>0</v>
      </c>
      <c r="I8" s="31">
        <v>0</v>
      </c>
      <c r="J8" s="32">
        <v>0</v>
      </c>
      <c r="K8" s="33">
        <v>0</v>
      </c>
      <c r="L8" s="30">
        <v>2</v>
      </c>
      <c r="M8" s="31">
        <v>0</v>
      </c>
      <c r="N8" s="32">
        <v>4</v>
      </c>
      <c r="O8" s="33">
        <v>0</v>
      </c>
      <c r="P8" s="30">
        <v>0</v>
      </c>
      <c r="Q8" s="31">
        <v>0</v>
      </c>
      <c r="R8" s="32">
        <v>1</v>
      </c>
      <c r="S8" s="20">
        <v>0</v>
      </c>
      <c r="T8" s="34">
        <v>2</v>
      </c>
      <c r="U8" s="31">
        <v>0</v>
      </c>
      <c r="V8" s="32">
        <v>0</v>
      </c>
      <c r="W8" s="33">
        <v>0</v>
      </c>
      <c r="X8" s="34">
        <v>2</v>
      </c>
    </row>
    <row r="9" spans="1:24" s="5" customFormat="1" ht="16.5" customHeight="1">
      <c r="A9" s="8"/>
      <c r="B9" s="9" t="s">
        <v>3</v>
      </c>
      <c r="C9" s="19">
        <f t="shared" si="1"/>
        <v>0</v>
      </c>
      <c r="D9" s="25">
        <f t="shared" si="1"/>
        <v>34</v>
      </c>
      <c r="E9" s="43">
        <v>0</v>
      </c>
      <c r="F9" s="27">
        <v>7</v>
      </c>
      <c r="G9" s="28">
        <v>0</v>
      </c>
      <c r="H9" s="25">
        <v>0</v>
      </c>
      <c r="I9" s="26">
        <v>0</v>
      </c>
      <c r="J9" s="27">
        <v>0</v>
      </c>
      <c r="K9" s="28">
        <v>0</v>
      </c>
      <c r="L9" s="25">
        <v>8</v>
      </c>
      <c r="M9" s="26">
        <v>0</v>
      </c>
      <c r="N9" s="27">
        <v>7</v>
      </c>
      <c r="O9" s="28">
        <v>0</v>
      </c>
      <c r="P9" s="25">
        <v>1</v>
      </c>
      <c r="Q9" s="26">
        <v>0</v>
      </c>
      <c r="R9" s="27">
        <v>2</v>
      </c>
      <c r="S9" s="19">
        <v>0</v>
      </c>
      <c r="T9" s="29">
        <v>1</v>
      </c>
      <c r="U9" s="26">
        <v>0</v>
      </c>
      <c r="V9" s="27">
        <v>1</v>
      </c>
      <c r="W9" s="28">
        <v>0</v>
      </c>
      <c r="X9" s="29">
        <v>7</v>
      </c>
    </row>
    <row r="10" spans="1:24" s="5" customFormat="1" ht="16.5" customHeight="1">
      <c r="A10" s="8"/>
      <c r="B10" s="9" t="s">
        <v>4</v>
      </c>
      <c r="C10" s="19">
        <f t="shared" si="1"/>
        <v>0</v>
      </c>
      <c r="D10" s="25">
        <f t="shared" si="1"/>
        <v>28</v>
      </c>
      <c r="E10" s="43">
        <v>0</v>
      </c>
      <c r="F10" s="27">
        <v>12</v>
      </c>
      <c r="G10" s="28">
        <v>0</v>
      </c>
      <c r="H10" s="25">
        <v>0</v>
      </c>
      <c r="I10" s="26">
        <v>0</v>
      </c>
      <c r="J10" s="27">
        <v>0</v>
      </c>
      <c r="K10" s="28">
        <v>0</v>
      </c>
      <c r="L10" s="25">
        <v>3</v>
      </c>
      <c r="M10" s="26">
        <v>0</v>
      </c>
      <c r="N10" s="27">
        <v>7</v>
      </c>
      <c r="O10" s="28">
        <v>0</v>
      </c>
      <c r="P10" s="25">
        <v>0</v>
      </c>
      <c r="Q10" s="26">
        <v>0</v>
      </c>
      <c r="R10" s="27">
        <v>0</v>
      </c>
      <c r="S10" s="19">
        <v>0</v>
      </c>
      <c r="T10" s="29">
        <v>2</v>
      </c>
      <c r="U10" s="26">
        <v>0</v>
      </c>
      <c r="V10" s="27">
        <v>1</v>
      </c>
      <c r="W10" s="28">
        <v>0</v>
      </c>
      <c r="X10" s="29">
        <v>3</v>
      </c>
    </row>
    <row r="11" spans="1:24" s="5" customFormat="1" ht="16.5" customHeight="1">
      <c r="A11" s="8"/>
      <c r="B11" s="9" t="s">
        <v>5</v>
      </c>
      <c r="C11" s="19">
        <f t="shared" si="1"/>
        <v>0</v>
      </c>
      <c r="D11" s="25">
        <f t="shared" si="1"/>
        <v>44</v>
      </c>
      <c r="E11" s="43">
        <v>0</v>
      </c>
      <c r="F11" s="27">
        <v>12</v>
      </c>
      <c r="G11" s="28">
        <v>0</v>
      </c>
      <c r="H11" s="25">
        <v>0</v>
      </c>
      <c r="I11" s="26">
        <v>0</v>
      </c>
      <c r="J11" s="27">
        <v>0</v>
      </c>
      <c r="K11" s="28">
        <v>0</v>
      </c>
      <c r="L11" s="25">
        <v>5</v>
      </c>
      <c r="M11" s="26">
        <v>0</v>
      </c>
      <c r="N11" s="27">
        <v>10</v>
      </c>
      <c r="O11" s="28">
        <v>0</v>
      </c>
      <c r="P11" s="25">
        <v>0</v>
      </c>
      <c r="Q11" s="26">
        <v>0</v>
      </c>
      <c r="R11" s="27">
        <v>5</v>
      </c>
      <c r="S11" s="19">
        <v>0</v>
      </c>
      <c r="T11" s="29">
        <v>6</v>
      </c>
      <c r="U11" s="26">
        <v>0</v>
      </c>
      <c r="V11" s="27">
        <v>1</v>
      </c>
      <c r="W11" s="28">
        <v>0</v>
      </c>
      <c r="X11" s="29">
        <v>5</v>
      </c>
    </row>
    <row r="12" spans="1:24" s="5" customFormat="1" ht="16.5" customHeight="1">
      <c r="A12" s="8"/>
      <c r="B12" s="9" t="s">
        <v>6</v>
      </c>
      <c r="C12" s="19">
        <f aca="true" t="shared" si="2" ref="C12:D19">E12+G12+I12+K12+M12+O12+Q12+S12+U12+W12</f>
        <v>0</v>
      </c>
      <c r="D12" s="25">
        <f t="shared" si="2"/>
        <v>40</v>
      </c>
      <c r="E12" s="43">
        <v>0</v>
      </c>
      <c r="F12" s="27">
        <v>12</v>
      </c>
      <c r="G12" s="28">
        <v>0</v>
      </c>
      <c r="H12" s="25">
        <v>0</v>
      </c>
      <c r="I12" s="26">
        <v>0</v>
      </c>
      <c r="J12" s="27">
        <v>1</v>
      </c>
      <c r="K12" s="28">
        <v>0</v>
      </c>
      <c r="L12" s="25">
        <v>7</v>
      </c>
      <c r="M12" s="26">
        <v>0</v>
      </c>
      <c r="N12" s="27">
        <v>2</v>
      </c>
      <c r="O12" s="28">
        <v>0</v>
      </c>
      <c r="P12" s="25">
        <v>0</v>
      </c>
      <c r="Q12" s="26">
        <v>0</v>
      </c>
      <c r="R12" s="27">
        <v>10</v>
      </c>
      <c r="S12" s="19">
        <v>0</v>
      </c>
      <c r="T12" s="29">
        <v>3</v>
      </c>
      <c r="U12" s="26">
        <v>0</v>
      </c>
      <c r="V12" s="27">
        <v>0</v>
      </c>
      <c r="W12" s="28">
        <v>0</v>
      </c>
      <c r="X12" s="29">
        <v>5</v>
      </c>
    </row>
    <row r="13" spans="1:24" s="5" customFormat="1" ht="16.5" customHeight="1">
      <c r="A13" s="8"/>
      <c r="B13" s="9" t="s">
        <v>7</v>
      </c>
      <c r="C13" s="19">
        <f t="shared" si="2"/>
        <v>0</v>
      </c>
      <c r="D13" s="25">
        <f t="shared" si="2"/>
        <v>23</v>
      </c>
      <c r="E13" s="43">
        <v>0</v>
      </c>
      <c r="F13" s="27">
        <v>9</v>
      </c>
      <c r="G13" s="28">
        <v>0</v>
      </c>
      <c r="H13" s="25">
        <v>0</v>
      </c>
      <c r="I13" s="26">
        <v>0</v>
      </c>
      <c r="J13" s="27">
        <v>0</v>
      </c>
      <c r="K13" s="28">
        <v>0</v>
      </c>
      <c r="L13" s="25">
        <v>3</v>
      </c>
      <c r="M13" s="26">
        <v>0</v>
      </c>
      <c r="N13" s="27">
        <v>3</v>
      </c>
      <c r="O13" s="28">
        <v>0</v>
      </c>
      <c r="P13" s="25">
        <v>0</v>
      </c>
      <c r="Q13" s="26">
        <v>0</v>
      </c>
      <c r="R13" s="27">
        <v>5</v>
      </c>
      <c r="S13" s="19">
        <v>0</v>
      </c>
      <c r="T13" s="29">
        <v>0</v>
      </c>
      <c r="U13" s="26">
        <v>0</v>
      </c>
      <c r="V13" s="27">
        <v>1</v>
      </c>
      <c r="W13" s="28">
        <v>0</v>
      </c>
      <c r="X13" s="29">
        <v>2</v>
      </c>
    </row>
    <row r="14" spans="1:24" s="5" customFormat="1" ht="16.5" customHeight="1">
      <c r="A14" s="8"/>
      <c r="B14" s="9" t="s">
        <v>8</v>
      </c>
      <c r="C14" s="19">
        <f t="shared" si="2"/>
        <v>0</v>
      </c>
      <c r="D14" s="25">
        <f t="shared" si="2"/>
        <v>38</v>
      </c>
      <c r="E14" s="43">
        <v>0</v>
      </c>
      <c r="F14" s="27">
        <v>10</v>
      </c>
      <c r="G14" s="28">
        <v>0</v>
      </c>
      <c r="H14" s="25">
        <v>0</v>
      </c>
      <c r="I14" s="26">
        <v>0</v>
      </c>
      <c r="J14" s="27">
        <v>0</v>
      </c>
      <c r="K14" s="28">
        <v>0</v>
      </c>
      <c r="L14" s="25">
        <v>7</v>
      </c>
      <c r="M14" s="26">
        <v>0</v>
      </c>
      <c r="N14" s="27">
        <v>6</v>
      </c>
      <c r="O14" s="28">
        <v>0</v>
      </c>
      <c r="P14" s="25">
        <v>0</v>
      </c>
      <c r="Q14" s="26">
        <v>0</v>
      </c>
      <c r="R14" s="27">
        <v>4</v>
      </c>
      <c r="S14" s="19">
        <v>0</v>
      </c>
      <c r="T14" s="29">
        <v>4</v>
      </c>
      <c r="U14" s="26">
        <v>0</v>
      </c>
      <c r="V14" s="27">
        <v>2</v>
      </c>
      <c r="W14" s="28">
        <v>0</v>
      </c>
      <c r="X14" s="29">
        <v>5</v>
      </c>
    </row>
    <row r="15" spans="1:24" s="5" customFormat="1" ht="16.5" customHeight="1">
      <c r="A15" s="8"/>
      <c r="B15" s="9" t="s">
        <v>9</v>
      </c>
      <c r="C15" s="19">
        <f t="shared" si="2"/>
        <v>2</v>
      </c>
      <c r="D15" s="25">
        <f t="shared" si="2"/>
        <v>53</v>
      </c>
      <c r="E15" s="43">
        <v>1</v>
      </c>
      <c r="F15" s="27">
        <v>14</v>
      </c>
      <c r="G15" s="28">
        <v>0</v>
      </c>
      <c r="H15" s="25">
        <v>0</v>
      </c>
      <c r="I15" s="26">
        <v>0</v>
      </c>
      <c r="J15" s="27">
        <v>0</v>
      </c>
      <c r="K15" s="28">
        <v>0</v>
      </c>
      <c r="L15" s="25">
        <v>11</v>
      </c>
      <c r="M15" s="26">
        <v>0</v>
      </c>
      <c r="N15" s="27">
        <v>6</v>
      </c>
      <c r="O15" s="28">
        <v>1</v>
      </c>
      <c r="P15" s="25">
        <v>0</v>
      </c>
      <c r="Q15" s="26">
        <v>0</v>
      </c>
      <c r="R15" s="27">
        <v>7</v>
      </c>
      <c r="S15" s="19">
        <v>0</v>
      </c>
      <c r="T15" s="29">
        <v>2</v>
      </c>
      <c r="U15" s="26">
        <v>0</v>
      </c>
      <c r="V15" s="27">
        <v>0</v>
      </c>
      <c r="W15" s="28">
        <v>0</v>
      </c>
      <c r="X15" s="29">
        <v>13</v>
      </c>
    </row>
    <row r="16" spans="1:24" s="5" customFormat="1" ht="16.5" customHeight="1">
      <c r="A16" s="8"/>
      <c r="B16" s="9" t="s">
        <v>10</v>
      </c>
      <c r="C16" s="19">
        <f t="shared" si="2"/>
        <v>0</v>
      </c>
      <c r="D16" s="25">
        <f t="shared" si="2"/>
        <v>38</v>
      </c>
      <c r="E16" s="43">
        <v>0</v>
      </c>
      <c r="F16" s="27">
        <v>16</v>
      </c>
      <c r="G16" s="28">
        <v>0</v>
      </c>
      <c r="H16" s="25">
        <v>0</v>
      </c>
      <c r="I16" s="26">
        <v>0</v>
      </c>
      <c r="J16" s="27">
        <v>0</v>
      </c>
      <c r="K16" s="28">
        <v>0</v>
      </c>
      <c r="L16" s="25">
        <v>3</v>
      </c>
      <c r="M16" s="26">
        <v>0</v>
      </c>
      <c r="N16" s="27">
        <v>7</v>
      </c>
      <c r="O16" s="28">
        <v>0</v>
      </c>
      <c r="P16" s="25">
        <v>2</v>
      </c>
      <c r="Q16" s="26">
        <v>0</v>
      </c>
      <c r="R16" s="27">
        <v>3</v>
      </c>
      <c r="S16" s="19">
        <v>0</v>
      </c>
      <c r="T16" s="29">
        <v>1</v>
      </c>
      <c r="U16" s="26">
        <v>0</v>
      </c>
      <c r="V16" s="27">
        <v>0</v>
      </c>
      <c r="W16" s="28">
        <v>0</v>
      </c>
      <c r="X16" s="29">
        <v>6</v>
      </c>
    </row>
    <row r="17" spans="1:24" s="5" customFormat="1" ht="16.5" customHeight="1">
      <c r="A17" s="8"/>
      <c r="B17" s="9" t="s">
        <v>11</v>
      </c>
      <c r="C17" s="19">
        <f t="shared" si="2"/>
        <v>3</v>
      </c>
      <c r="D17" s="25">
        <f t="shared" si="2"/>
        <v>52</v>
      </c>
      <c r="E17" s="43">
        <v>0</v>
      </c>
      <c r="F17" s="27">
        <v>22</v>
      </c>
      <c r="G17" s="28">
        <v>0</v>
      </c>
      <c r="H17" s="25">
        <v>0</v>
      </c>
      <c r="I17" s="26">
        <v>0</v>
      </c>
      <c r="J17" s="27">
        <v>1</v>
      </c>
      <c r="K17" s="28">
        <v>0</v>
      </c>
      <c r="L17" s="25">
        <v>11</v>
      </c>
      <c r="M17" s="26">
        <v>1</v>
      </c>
      <c r="N17" s="27">
        <v>3</v>
      </c>
      <c r="O17" s="28">
        <v>0</v>
      </c>
      <c r="P17" s="25">
        <v>1</v>
      </c>
      <c r="Q17" s="26">
        <v>1</v>
      </c>
      <c r="R17" s="27">
        <v>4</v>
      </c>
      <c r="S17" s="19">
        <v>0</v>
      </c>
      <c r="T17" s="29">
        <v>2</v>
      </c>
      <c r="U17" s="26">
        <v>0</v>
      </c>
      <c r="V17" s="27">
        <v>1</v>
      </c>
      <c r="W17" s="28">
        <v>1</v>
      </c>
      <c r="X17" s="29">
        <v>7</v>
      </c>
    </row>
    <row r="18" spans="1:24" s="5" customFormat="1" ht="16.5" customHeight="1">
      <c r="A18" s="8"/>
      <c r="B18" s="9" t="s">
        <v>12</v>
      </c>
      <c r="C18" s="19">
        <f t="shared" si="2"/>
        <v>0</v>
      </c>
      <c r="D18" s="25">
        <f t="shared" si="2"/>
        <v>52</v>
      </c>
      <c r="E18" s="43">
        <v>0</v>
      </c>
      <c r="F18" s="27">
        <v>18</v>
      </c>
      <c r="G18" s="28">
        <v>0</v>
      </c>
      <c r="H18" s="25">
        <v>0</v>
      </c>
      <c r="I18" s="26">
        <v>0</v>
      </c>
      <c r="J18" s="27">
        <v>0</v>
      </c>
      <c r="K18" s="28">
        <v>0</v>
      </c>
      <c r="L18" s="25">
        <v>8</v>
      </c>
      <c r="M18" s="26">
        <v>0</v>
      </c>
      <c r="N18" s="27">
        <v>6</v>
      </c>
      <c r="O18" s="28">
        <v>0</v>
      </c>
      <c r="P18" s="25">
        <v>1</v>
      </c>
      <c r="Q18" s="26">
        <v>0</v>
      </c>
      <c r="R18" s="27">
        <v>7</v>
      </c>
      <c r="S18" s="19">
        <v>0</v>
      </c>
      <c r="T18" s="29">
        <v>3</v>
      </c>
      <c r="U18" s="26">
        <v>0</v>
      </c>
      <c r="V18" s="27">
        <v>0</v>
      </c>
      <c r="W18" s="28">
        <v>0</v>
      </c>
      <c r="X18" s="29">
        <v>9</v>
      </c>
    </row>
    <row r="19" spans="1:24" s="5" customFormat="1" ht="16.5" customHeight="1">
      <c r="A19" s="10"/>
      <c r="B19" s="11" t="s">
        <v>13</v>
      </c>
      <c r="C19" s="21">
        <f t="shared" si="2"/>
        <v>0</v>
      </c>
      <c r="D19" s="35">
        <f t="shared" si="2"/>
        <v>130</v>
      </c>
      <c r="E19" s="46">
        <v>0</v>
      </c>
      <c r="F19" s="37">
        <v>33</v>
      </c>
      <c r="G19" s="38">
        <v>0</v>
      </c>
      <c r="H19" s="35">
        <v>0</v>
      </c>
      <c r="I19" s="36">
        <v>0</v>
      </c>
      <c r="J19" s="37">
        <v>0</v>
      </c>
      <c r="K19" s="38">
        <v>0</v>
      </c>
      <c r="L19" s="35">
        <v>20</v>
      </c>
      <c r="M19" s="36">
        <v>0</v>
      </c>
      <c r="N19" s="37">
        <v>18</v>
      </c>
      <c r="O19" s="38">
        <v>0</v>
      </c>
      <c r="P19" s="35">
        <v>3</v>
      </c>
      <c r="Q19" s="36">
        <v>0</v>
      </c>
      <c r="R19" s="37">
        <v>21</v>
      </c>
      <c r="S19" s="21">
        <v>0</v>
      </c>
      <c r="T19" s="39">
        <v>9</v>
      </c>
      <c r="U19" s="36">
        <v>0</v>
      </c>
      <c r="V19" s="37">
        <v>3</v>
      </c>
      <c r="W19" s="38">
        <v>0</v>
      </c>
      <c r="X19" s="39">
        <v>23</v>
      </c>
    </row>
    <row r="20" s="5" customFormat="1" ht="16.5" customHeight="1">
      <c r="A20" s="5" t="s">
        <v>28</v>
      </c>
    </row>
    <row r="21" s="2" customFormat="1" ht="16.5" customHeight="1">
      <c r="A21" s="5" t="s">
        <v>29</v>
      </c>
    </row>
    <row r="22" s="5" customFormat="1" ht="16.5" customHeight="1">
      <c r="A22" s="5" t="s">
        <v>30</v>
      </c>
    </row>
    <row r="23" s="5" customFormat="1" ht="16.5" customHeight="1">
      <c r="B23" s="5" t="s">
        <v>31</v>
      </c>
    </row>
    <row r="24" s="5" customFormat="1" ht="16.5" customHeight="1">
      <c r="B24" s="5" t="s">
        <v>32</v>
      </c>
    </row>
    <row r="25" s="5" customFormat="1" ht="16.5" customHeight="1">
      <c r="B25" s="5" t="s">
        <v>33</v>
      </c>
    </row>
    <row r="26" s="5" customFormat="1" ht="16.5" customHeight="1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</sheetData>
  <sheetProtection/>
  <mergeCells count="12">
    <mergeCell ref="A4:B5"/>
    <mergeCell ref="C4:D4"/>
    <mergeCell ref="E4:F4"/>
    <mergeCell ref="G4:H4"/>
    <mergeCell ref="I4:J4"/>
    <mergeCell ref="K4:L4"/>
    <mergeCell ref="M4:N4"/>
    <mergeCell ref="W4:X4"/>
    <mergeCell ref="O4:P4"/>
    <mergeCell ref="Q4:R4"/>
    <mergeCell ref="S4:T4"/>
    <mergeCell ref="U4:V4"/>
  </mergeCells>
  <printOptions/>
  <pageMargins left="0.78" right="0.58" top="0.78" bottom="0.59" header="0.2" footer="0.2"/>
  <pageSetup horizontalDpi="300" verticalDpi="300" orientation="landscape" paperSize="9" r:id="rId1"/>
  <colBreaks count="1" manualBreakCount="1">
    <brk id="1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76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>
      <c r="A13" s="8" t="s">
        <v>47</v>
      </c>
      <c r="B13" s="14" t="s">
        <v>1</v>
      </c>
      <c r="C13" s="19">
        <v>6</v>
      </c>
      <c r="D13" s="25">
        <v>470</v>
      </c>
      <c r="E13" s="43">
        <v>0</v>
      </c>
      <c r="F13" s="29">
        <v>117</v>
      </c>
      <c r="G13" s="19">
        <v>0</v>
      </c>
      <c r="H13" s="25">
        <v>0</v>
      </c>
      <c r="I13" s="19">
        <v>0</v>
      </c>
      <c r="J13" s="25">
        <v>1</v>
      </c>
      <c r="K13" s="19">
        <v>2</v>
      </c>
      <c r="L13" s="25">
        <v>65</v>
      </c>
      <c r="M13" s="19">
        <v>1</v>
      </c>
      <c r="N13" s="25">
        <v>52</v>
      </c>
      <c r="O13" s="19">
        <v>1</v>
      </c>
      <c r="P13" s="25">
        <v>12</v>
      </c>
      <c r="Q13" s="19">
        <v>1</v>
      </c>
      <c r="R13" s="25">
        <v>73</v>
      </c>
      <c r="S13" s="19">
        <v>1</v>
      </c>
      <c r="T13" s="25">
        <v>33</v>
      </c>
      <c r="U13" s="19">
        <v>0</v>
      </c>
      <c r="V13" s="29">
        <v>11</v>
      </c>
      <c r="W13" s="19">
        <v>0</v>
      </c>
      <c r="X13" s="25">
        <v>15</v>
      </c>
      <c r="Y13" s="19">
        <v>0</v>
      </c>
      <c r="Z13" s="29">
        <v>91</v>
      </c>
    </row>
    <row r="14" spans="1:26" s="14" customFormat="1" ht="18.75" customHeight="1">
      <c r="A14" s="8" t="s">
        <v>48</v>
      </c>
      <c r="B14" s="14" t="s">
        <v>1</v>
      </c>
      <c r="C14" s="19">
        <v>7</v>
      </c>
      <c r="D14" s="25">
        <v>502</v>
      </c>
      <c r="E14" s="43">
        <v>2</v>
      </c>
      <c r="F14" s="29">
        <v>119</v>
      </c>
      <c r="G14" s="19">
        <v>0</v>
      </c>
      <c r="H14" s="25">
        <v>0</v>
      </c>
      <c r="I14" s="19">
        <v>0</v>
      </c>
      <c r="J14" s="25">
        <v>2</v>
      </c>
      <c r="K14" s="19">
        <v>1</v>
      </c>
      <c r="L14" s="25">
        <v>87</v>
      </c>
      <c r="M14" s="19">
        <v>1</v>
      </c>
      <c r="N14" s="25">
        <v>54</v>
      </c>
      <c r="O14" s="19">
        <v>0</v>
      </c>
      <c r="P14" s="25">
        <v>8</v>
      </c>
      <c r="Q14" s="19">
        <v>2</v>
      </c>
      <c r="R14" s="25">
        <v>70</v>
      </c>
      <c r="S14" s="19">
        <v>0</v>
      </c>
      <c r="T14" s="25">
        <v>43</v>
      </c>
      <c r="U14" s="19">
        <v>0</v>
      </c>
      <c r="V14" s="29">
        <v>10</v>
      </c>
      <c r="W14" s="19">
        <v>0</v>
      </c>
      <c r="X14" s="25">
        <v>17</v>
      </c>
      <c r="Y14" s="19">
        <v>1</v>
      </c>
      <c r="Z14" s="29">
        <v>92</v>
      </c>
    </row>
    <row r="15" spans="1:26" s="14" customFormat="1" ht="18.75" customHeight="1">
      <c r="A15" s="8" t="s">
        <v>49</v>
      </c>
      <c r="B15" s="14" t="s">
        <v>1</v>
      </c>
      <c r="C15" s="19">
        <v>7</v>
      </c>
      <c r="D15" s="25">
        <v>549</v>
      </c>
      <c r="E15" s="43">
        <v>1</v>
      </c>
      <c r="F15" s="29">
        <v>135</v>
      </c>
      <c r="G15" s="19">
        <v>0</v>
      </c>
      <c r="H15" s="25">
        <v>1</v>
      </c>
      <c r="I15" s="19">
        <v>0</v>
      </c>
      <c r="J15" s="25">
        <v>1</v>
      </c>
      <c r="K15" s="19">
        <v>2</v>
      </c>
      <c r="L15" s="25">
        <v>82</v>
      </c>
      <c r="M15" s="19">
        <v>0</v>
      </c>
      <c r="N15" s="25">
        <v>65</v>
      </c>
      <c r="O15" s="19">
        <v>0</v>
      </c>
      <c r="P15" s="25">
        <v>13</v>
      </c>
      <c r="Q15" s="19">
        <v>1</v>
      </c>
      <c r="R15" s="25">
        <v>53</v>
      </c>
      <c r="S15" s="19">
        <v>1</v>
      </c>
      <c r="T15" s="25">
        <v>50</v>
      </c>
      <c r="U15" s="19">
        <v>0</v>
      </c>
      <c r="V15" s="29">
        <v>25</v>
      </c>
      <c r="W15" s="19">
        <v>1</v>
      </c>
      <c r="X15" s="25">
        <v>26</v>
      </c>
      <c r="Y15" s="19">
        <v>1</v>
      </c>
      <c r="Z15" s="29">
        <v>98</v>
      </c>
    </row>
    <row r="16" spans="1:26" s="14" customFormat="1" ht="18.75" customHeight="1">
      <c r="A16" s="8" t="s">
        <v>50</v>
      </c>
      <c r="B16" s="14" t="s">
        <v>1</v>
      </c>
      <c r="C16" s="19">
        <v>7</v>
      </c>
      <c r="D16" s="25">
        <v>538</v>
      </c>
      <c r="E16" s="43">
        <v>0</v>
      </c>
      <c r="F16" s="29">
        <v>124</v>
      </c>
      <c r="G16" s="19">
        <v>0</v>
      </c>
      <c r="H16" s="25">
        <v>0</v>
      </c>
      <c r="I16" s="19">
        <v>0</v>
      </c>
      <c r="J16" s="25">
        <v>3</v>
      </c>
      <c r="K16" s="19">
        <v>2</v>
      </c>
      <c r="L16" s="25">
        <v>93</v>
      </c>
      <c r="M16" s="19">
        <v>1</v>
      </c>
      <c r="N16" s="25">
        <v>64</v>
      </c>
      <c r="O16" s="19">
        <v>2</v>
      </c>
      <c r="P16" s="25">
        <v>7</v>
      </c>
      <c r="Q16" s="19">
        <v>0</v>
      </c>
      <c r="R16" s="25">
        <v>64</v>
      </c>
      <c r="S16" s="19">
        <v>0</v>
      </c>
      <c r="T16" s="25">
        <v>47</v>
      </c>
      <c r="U16" s="19">
        <v>1</v>
      </c>
      <c r="V16" s="29">
        <v>21</v>
      </c>
      <c r="W16" s="19">
        <v>0</v>
      </c>
      <c r="X16" s="25">
        <v>25</v>
      </c>
      <c r="Y16" s="19">
        <v>1</v>
      </c>
      <c r="Z16" s="29">
        <v>90</v>
      </c>
    </row>
    <row r="17" spans="1:26" s="14" customFormat="1" ht="18.75" customHeight="1">
      <c r="A17" s="8" t="s">
        <v>51</v>
      </c>
      <c r="B17" s="14" t="s">
        <v>1</v>
      </c>
      <c r="C17" s="19">
        <v>5</v>
      </c>
      <c r="D17" s="25">
        <v>508</v>
      </c>
      <c r="E17" s="43">
        <v>0</v>
      </c>
      <c r="F17" s="29">
        <v>130</v>
      </c>
      <c r="G17" s="19">
        <v>0</v>
      </c>
      <c r="H17" s="25">
        <v>0</v>
      </c>
      <c r="I17" s="19">
        <v>0</v>
      </c>
      <c r="J17" s="25">
        <v>1</v>
      </c>
      <c r="K17" s="19">
        <v>3</v>
      </c>
      <c r="L17" s="25">
        <v>76</v>
      </c>
      <c r="M17" s="19">
        <v>2</v>
      </c>
      <c r="N17" s="25">
        <v>69</v>
      </c>
      <c r="O17" s="19">
        <v>0</v>
      </c>
      <c r="P17" s="25">
        <v>10</v>
      </c>
      <c r="Q17" s="19">
        <v>0</v>
      </c>
      <c r="R17" s="25">
        <v>72</v>
      </c>
      <c r="S17" s="19">
        <v>0</v>
      </c>
      <c r="T17" s="25">
        <v>36</v>
      </c>
      <c r="U17" s="19">
        <v>0</v>
      </c>
      <c r="V17" s="29">
        <v>14</v>
      </c>
      <c r="W17" s="19">
        <v>0</v>
      </c>
      <c r="X17" s="25">
        <v>21</v>
      </c>
      <c r="Y17" s="19">
        <v>0</v>
      </c>
      <c r="Z17" s="29">
        <v>79</v>
      </c>
    </row>
    <row r="18" spans="1:26" s="14" customFormat="1" ht="18.75" customHeight="1">
      <c r="A18" s="8" t="s">
        <v>52</v>
      </c>
      <c r="B18" s="14" t="s">
        <v>1</v>
      </c>
      <c r="C18" s="19">
        <v>7</v>
      </c>
      <c r="D18" s="25">
        <v>474</v>
      </c>
      <c r="E18" s="43">
        <v>0</v>
      </c>
      <c r="F18" s="27">
        <v>109</v>
      </c>
      <c r="G18" s="28">
        <v>0</v>
      </c>
      <c r="H18" s="25">
        <v>0</v>
      </c>
      <c r="I18" s="19">
        <v>0</v>
      </c>
      <c r="J18" s="25">
        <v>5</v>
      </c>
      <c r="K18" s="19">
        <v>1</v>
      </c>
      <c r="L18" s="25">
        <v>64</v>
      </c>
      <c r="M18" s="19">
        <v>1</v>
      </c>
      <c r="N18" s="29">
        <v>66</v>
      </c>
      <c r="O18" s="28">
        <v>0</v>
      </c>
      <c r="P18" s="25">
        <v>6</v>
      </c>
      <c r="Q18" s="26">
        <v>3</v>
      </c>
      <c r="R18" s="28">
        <v>52</v>
      </c>
      <c r="S18" s="19">
        <v>0</v>
      </c>
      <c r="T18" s="25">
        <v>53</v>
      </c>
      <c r="U18" s="19">
        <v>0</v>
      </c>
      <c r="V18" s="29">
        <v>22</v>
      </c>
      <c r="W18" s="26">
        <v>0</v>
      </c>
      <c r="X18" s="27">
        <v>18</v>
      </c>
      <c r="Y18" s="28">
        <v>2</v>
      </c>
      <c r="Z18" s="29">
        <v>79</v>
      </c>
    </row>
    <row r="19" spans="1:26" s="14" customFormat="1" ht="18.75" customHeight="1">
      <c r="A19" s="8" t="s">
        <v>54</v>
      </c>
      <c r="B19" s="14" t="s">
        <v>1</v>
      </c>
      <c r="C19" s="19">
        <v>5</v>
      </c>
      <c r="D19" s="25">
        <v>498</v>
      </c>
      <c r="E19" s="43">
        <v>1</v>
      </c>
      <c r="F19" s="27">
        <v>101</v>
      </c>
      <c r="G19" s="28">
        <v>0</v>
      </c>
      <c r="H19" s="25">
        <v>3</v>
      </c>
      <c r="I19" s="26">
        <v>0</v>
      </c>
      <c r="J19" s="29">
        <v>1</v>
      </c>
      <c r="K19" s="28">
        <v>1</v>
      </c>
      <c r="L19" s="25">
        <v>71</v>
      </c>
      <c r="M19" s="26">
        <v>2</v>
      </c>
      <c r="N19" s="27">
        <v>57</v>
      </c>
      <c r="O19" s="28">
        <v>1</v>
      </c>
      <c r="P19" s="25">
        <v>11</v>
      </c>
      <c r="Q19" s="26">
        <v>0</v>
      </c>
      <c r="R19" s="28">
        <v>36</v>
      </c>
      <c r="S19" s="26">
        <v>0</v>
      </c>
      <c r="T19" s="27">
        <v>70</v>
      </c>
      <c r="U19" s="28">
        <v>0</v>
      </c>
      <c r="V19" s="29">
        <v>16</v>
      </c>
      <c r="W19" s="26">
        <v>0</v>
      </c>
      <c r="X19" s="27">
        <v>22</v>
      </c>
      <c r="Y19" s="28">
        <v>0</v>
      </c>
      <c r="Z19" s="29">
        <v>110</v>
      </c>
    </row>
    <row r="20" spans="1:26" s="14" customFormat="1" ht="18.75" customHeight="1">
      <c r="A20" s="8" t="s">
        <v>78</v>
      </c>
      <c r="B20" s="14" t="s">
        <v>1</v>
      </c>
      <c r="C20" s="19">
        <v>6</v>
      </c>
      <c r="D20" s="25">
        <v>442</v>
      </c>
      <c r="E20" s="43">
        <v>0</v>
      </c>
      <c r="F20" s="27">
        <v>91</v>
      </c>
      <c r="G20" s="28">
        <v>0</v>
      </c>
      <c r="H20" s="25">
        <v>0</v>
      </c>
      <c r="I20" s="26">
        <v>0</v>
      </c>
      <c r="J20" s="27">
        <v>2</v>
      </c>
      <c r="K20" s="28">
        <v>2</v>
      </c>
      <c r="L20" s="25">
        <v>58</v>
      </c>
      <c r="M20" s="26">
        <v>0</v>
      </c>
      <c r="N20" s="27">
        <v>55</v>
      </c>
      <c r="O20" s="28">
        <v>0</v>
      </c>
      <c r="P20" s="25">
        <v>9</v>
      </c>
      <c r="Q20" s="26">
        <v>1</v>
      </c>
      <c r="R20" s="28">
        <v>31</v>
      </c>
      <c r="S20" s="26">
        <v>0</v>
      </c>
      <c r="T20" s="27">
        <v>55</v>
      </c>
      <c r="U20" s="28">
        <v>2</v>
      </c>
      <c r="V20" s="29">
        <v>23</v>
      </c>
      <c r="W20" s="26">
        <v>0</v>
      </c>
      <c r="X20" s="27">
        <v>22</v>
      </c>
      <c r="Y20" s="28">
        <v>1</v>
      </c>
      <c r="Z20" s="29">
        <v>96</v>
      </c>
    </row>
    <row r="21" spans="1:26" s="14" customFormat="1" ht="18.75" customHeight="1">
      <c r="A21" s="86" t="s">
        <v>79</v>
      </c>
      <c r="B21" s="14" t="s">
        <v>1</v>
      </c>
      <c r="C21" s="19">
        <v>6</v>
      </c>
      <c r="D21" s="25">
        <v>469</v>
      </c>
      <c r="E21" s="43">
        <v>0</v>
      </c>
      <c r="F21" s="27">
        <v>73</v>
      </c>
      <c r="G21" s="28">
        <v>0</v>
      </c>
      <c r="H21" s="25">
        <v>0</v>
      </c>
      <c r="I21" s="26">
        <v>0</v>
      </c>
      <c r="J21" s="27">
        <v>1</v>
      </c>
      <c r="K21" s="28">
        <v>0</v>
      </c>
      <c r="L21" s="25">
        <v>75</v>
      </c>
      <c r="M21" s="26">
        <v>2</v>
      </c>
      <c r="N21" s="27">
        <v>79</v>
      </c>
      <c r="O21" s="28">
        <v>0</v>
      </c>
      <c r="P21" s="25">
        <v>7</v>
      </c>
      <c r="Q21" s="26">
        <v>2</v>
      </c>
      <c r="R21" s="28">
        <v>27</v>
      </c>
      <c r="S21" s="26">
        <v>0</v>
      </c>
      <c r="T21" s="27">
        <v>53</v>
      </c>
      <c r="U21" s="28">
        <v>0</v>
      </c>
      <c r="V21" s="29">
        <v>10</v>
      </c>
      <c r="W21" s="26">
        <v>1</v>
      </c>
      <c r="X21" s="27">
        <v>28</v>
      </c>
      <c r="Y21" s="28">
        <v>1</v>
      </c>
      <c r="Z21" s="29">
        <v>116</v>
      </c>
    </row>
    <row r="22" spans="1:26" s="14" customFormat="1" ht="18.75" customHeight="1" thickBot="1">
      <c r="A22" s="86" t="s">
        <v>80</v>
      </c>
      <c r="B22" s="14" t="s">
        <v>77</v>
      </c>
      <c r="C22" s="19">
        <v>1</v>
      </c>
      <c r="D22" s="25">
        <v>454</v>
      </c>
      <c r="E22" s="43">
        <v>0</v>
      </c>
      <c r="F22" s="27">
        <v>83</v>
      </c>
      <c r="G22" s="28">
        <v>0</v>
      </c>
      <c r="H22" s="25">
        <v>1</v>
      </c>
      <c r="I22" s="26">
        <v>0</v>
      </c>
      <c r="J22" s="27">
        <v>4</v>
      </c>
      <c r="K22" s="28">
        <v>0</v>
      </c>
      <c r="L22" s="25">
        <v>57</v>
      </c>
      <c r="M22" s="26">
        <v>1</v>
      </c>
      <c r="N22" s="27">
        <v>76</v>
      </c>
      <c r="O22" s="28">
        <v>0</v>
      </c>
      <c r="P22" s="25">
        <v>4</v>
      </c>
      <c r="Q22" s="26">
        <v>0</v>
      </c>
      <c r="R22" s="28">
        <v>23</v>
      </c>
      <c r="S22" s="85">
        <v>0</v>
      </c>
      <c r="T22" s="40">
        <v>73</v>
      </c>
      <c r="U22" s="28">
        <v>0</v>
      </c>
      <c r="V22" s="29">
        <v>22</v>
      </c>
      <c r="W22" s="26">
        <v>0</v>
      </c>
      <c r="X22" s="27">
        <v>16</v>
      </c>
      <c r="Y22" s="28">
        <v>0</v>
      </c>
      <c r="Z22" s="29">
        <v>95</v>
      </c>
    </row>
    <row r="23" spans="1:26" s="5" customFormat="1" ht="16.5" customHeight="1" thickTop="1">
      <c r="A23" s="15" t="s">
        <v>80</v>
      </c>
      <c r="B23" s="16" t="s">
        <v>2</v>
      </c>
      <c r="C23" s="20">
        <v>0</v>
      </c>
      <c r="D23" s="30">
        <v>42</v>
      </c>
      <c r="E23" s="45">
        <v>0</v>
      </c>
      <c r="F23" s="32">
        <v>10</v>
      </c>
      <c r="G23" s="33">
        <v>0</v>
      </c>
      <c r="H23" s="30">
        <v>0</v>
      </c>
      <c r="I23" s="31">
        <v>0</v>
      </c>
      <c r="J23" s="32">
        <v>0</v>
      </c>
      <c r="K23" s="33">
        <v>0</v>
      </c>
      <c r="L23" s="30">
        <v>5</v>
      </c>
      <c r="M23" s="31">
        <v>0</v>
      </c>
      <c r="N23" s="32">
        <v>6</v>
      </c>
      <c r="O23" s="33">
        <v>0</v>
      </c>
      <c r="P23" s="30">
        <v>0</v>
      </c>
      <c r="Q23" s="31">
        <v>0</v>
      </c>
      <c r="R23" s="32">
        <v>3</v>
      </c>
      <c r="S23" s="20">
        <v>0</v>
      </c>
      <c r="T23" s="34">
        <v>5</v>
      </c>
      <c r="U23" s="33">
        <v>0</v>
      </c>
      <c r="V23" s="34">
        <v>3</v>
      </c>
      <c r="W23" s="31">
        <v>0</v>
      </c>
      <c r="X23" s="32">
        <v>0</v>
      </c>
      <c r="Y23" s="33">
        <v>0</v>
      </c>
      <c r="Z23" s="34">
        <v>10</v>
      </c>
    </row>
    <row r="24" spans="1:26" s="5" customFormat="1" ht="16.5" customHeight="1">
      <c r="A24" s="8"/>
      <c r="B24" s="9" t="s">
        <v>3</v>
      </c>
      <c r="C24" s="19">
        <v>0</v>
      </c>
      <c r="D24" s="25">
        <v>71</v>
      </c>
      <c r="E24" s="43">
        <v>0</v>
      </c>
      <c r="F24" s="27">
        <v>15</v>
      </c>
      <c r="G24" s="28">
        <v>0</v>
      </c>
      <c r="H24" s="25">
        <v>0</v>
      </c>
      <c r="I24" s="26">
        <v>0</v>
      </c>
      <c r="J24" s="27">
        <v>0</v>
      </c>
      <c r="K24" s="28">
        <v>0</v>
      </c>
      <c r="L24" s="25">
        <v>3</v>
      </c>
      <c r="M24" s="26">
        <v>0</v>
      </c>
      <c r="N24" s="27">
        <v>18</v>
      </c>
      <c r="O24" s="28">
        <v>0</v>
      </c>
      <c r="P24" s="25">
        <v>0</v>
      </c>
      <c r="Q24" s="26">
        <v>0</v>
      </c>
      <c r="R24" s="27">
        <v>1</v>
      </c>
      <c r="S24" s="19">
        <v>0</v>
      </c>
      <c r="T24" s="29">
        <v>14</v>
      </c>
      <c r="U24" s="28">
        <v>0</v>
      </c>
      <c r="V24" s="29">
        <v>2</v>
      </c>
      <c r="W24" s="26">
        <v>0</v>
      </c>
      <c r="X24" s="27">
        <v>1</v>
      </c>
      <c r="Y24" s="28">
        <v>0</v>
      </c>
      <c r="Z24" s="29">
        <v>17</v>
      </c>
    </row>
    <row r="25" spans="1:26" s="5" customFormat="1" ht="16.5" customHeight="1">
      <c r="A25" s="8"/>
      <c r="B25" s="9" t="s">
        <v>4</v>
      </c>
      <c r="C25" s="19">
        <v>1</v>
      </c>
      <c r="D25" s="25">
        <v>37</v>
      </c>
      <c r="E25" s="43">
        <v>0</v>
      </c>
      <c r="F25" s="27">
        <v>3</v>
      </c>
      <c r="G25" s="28">
        <v>0</v>
      </c>
      <c r="H25" s="25">
        <v>1</v>
      </c>
      <c r="I25" s="26">
        <v>0</v>
      </c>
      <c r="J25" s="27">
        <v>0</v>
      </c>
      <c r="K25" s="28">
        <v>0</v>
      </c>
      <c r="L25" s="25">
        <v>2</v>
      </c>
      <c r="M25" s="26">
        <v>1</v>
      </c>
      <c r="N25" s="27">
        <v>9</v>
      </c>
      <c r="O25" s="28">
        <v>0</v>
      </c>
      <c r="P25" s="25">
        <v>0</v>
      </c>
      <c r="Q25" s="26">
        <v>0</v>
      </c>
      <c r="R25" s="27">
        <v>1</v>
      </c>
      <c r="S25" s="19">
        <v>0</v>
      </c>
      <c r="T25" s="29">
        <v>9</v>
      </c>
      <c r="U25" s="28">
        <v>0</v>
      </c>
      <c r="V25" s="29">
        <v>0</v>
      </c>
      <c r="W25" s="26">
        <v>0</v>
      </c>
      <c r="X25" s="27">
        <v>2</v>
      </c>
      <c r="Y25" s="28">
        <v>0</v>
      </c>
      <c r="Z25" s="29">
        <v>10</v>
      </c>
    </row>
    <row r="26" spans="1:26" s="5" customFormat="1" ht="16.5" customHeight="1">
      <c r="A26" s="8"/>
      <c r="B26" s="9" t="s">
        <v>5</v>
      </c>
      <c r="C26" s="19">
        <v>0</v>
      </c>
      <c r="D26" s="25">
        <v>26</v>
      </c>
      <c r="E26" s="43">
        <v>0</v>
      </c>
      <c r="F26" s="27">
        <v>11</v>
      </c>
      <c r="G26" s="28">
        <v>0</v>
      </c>
      <c r="H26" s="25">
        <v>0</v>
      </c>
      <c r="I26" s="26">
        <v>0</v>
      </c>
      <c r="J26" s="27">
        <v>0</v>
      </c>
      <c r="K26" s="28">
        <v>0</v>
      </c>
      <c r="L26" s="25">
        <v>0</v>
      </c>
      <c r="M26" s="26">
        <v>0</v>
      </c>
      <c r="N26" s="27">
        <v>3</v>
      </c>
      <c r="O26" s="28">
        <v>0</v>
      </c>
      <c r="P26" s="25">
        <v>0</v>
      </c>
      <c r="Q26" s="26">
        <v>0</v>
      </c>
      <c r="R26" s="27">
        <v>2</v>
      </c>
      <c r="S26" s="19">
        <v>0</v>
      </c>
      <c r="T26" s="29">
        <v>2</v>
      </c>
      <c r="U26" s="28">
        <v>0</v>
      </c>
      <c r="V26" s="29">
        <v>2</v>
      </c>
      <c r="W26" s="26">
        <v>0</v>
      </c>
      <c r="X26" s="27">
        <v>2</v>
      </c>
      <c r="Y26" s="28">
        <v>0</v>
      </c>
      <c r="Z26" s="29">
        <v>4</v>
      </c>
    </row>
    <row r="27" spans="1:26" s="5" customFormat="1" ht="16.5" customHeight="1">
      <c r="A27" s="8"/>
      <c r="B27" s="9" t="s">
        <v>6</v>
      </c>
      <c r="C27" s="19">
        <v>0</v>
      </c>
      <c r="D27" s="25">
        <v>26</v>
      </c>
      <c r="E27" s="43">
        <v>0</v>
      </c>
      <c r="F27" s="27">
        <v>4</v>
      </c>
      <c r="G27" s="28">
        <v>0</v>
      </c>
      <c r="H27" s="25">
        <v>0</v>
      </c>
      <c r="I27" s="26">
        <v>0</v>
      </c>
      <c r="J27" s="27">
        <v>1</v>
      </c>
      <c r="K27" s="28">
        <v>0</v>
      </c>
      <c r="L27" s="25">
        <v>3</v>
      </c>
      <c r="M27" s="26">
        <v>0</v>
      </c>
      <c r="N27" s="27">
        <v>6</v>
      </c>
      <c r="O27" s="28">
        <v>0</v>
      </c>
      <c r="P27" s="25">
        <v>0</v>
      </c>
      <c r="Q27" s="26">
        <v>0</v>
      </c>
      <c r="R27" s="27">
        <v>0</v>
      </c>
      <c r="S27" s="19">
        <v>0</v>
      </c>
      <c r="T27" s="29">
        <v>4</v>
      </c>
      <c r="U27" s="28">
        <v>0</v>
      </c>
      <c r="V27" s="29">
        <v>1</v>
      </c>
      <c r="W27" s="26">
        <v>0</v>
      </c>
      <c r="X27" s="27">
        <v>0</v>
      </c>
      <c r="Y27" s="28">
        <v>0</v>
      </c>
      <c r="Z27" s="29">
        <v>7</v>
      </c>
    </row>
    <row r="28" spans="1:26" s="61" customFormat="1" ht="16.5" customHeight="1">
      <c r="A28" s="52"/>
      <c r="B28" s="53" t="s">
        <v>7</v>
      </c>
      <c r="C28" s="54">
        <v>0</v>
      </c>
      <c r="D28" s="55">
        <v>35</v>
      </c>
      <c r="E28" s="43">
        <v>0</v>
      </c>
      <c r="F28" s="57">
        <v>12</v>
      </c>
      <c r="G28" s="28">
        <v>0</v>
      </c>
      <c r="H28" s="25">
        <v>0</v>
      </c>
      <c r="I28" s="26">
        <v>0</v>
      </c>
      <c r="J28" s="27">
        <v>0</v>
      </c>
      <c r="K28" s="28">
        <v>0</v>
      </c>
      <c r="L28" s="55">
        <v>5</v>
      </c>
      <c r="M28" s="26">
        <v>0</v>
      </c>
      <c r="N28" s="57">
        <v>3</v>
      </c>
      <c r="O28" s="28">
        <v>0</v>
      </c>
      <c r="P28" s="55">
        <v>1</v>
      </c>
      <c r="Q28" s="26">
        <v>0</v>
      </c>
      <c r="R28" s="27">
        <v>2</v>
      </c>
      <c r="S28" s="19">
        <v>0</v>
      </c>
      <c r="T28" s="60">
        <v>7</v>
      </c>
      <c r="U28" s="58">
        <v>0</v>
      </c>
      <c r="V28" s="60">
        <v>0</v>
      </c>
      <c r="W28" s="26">
        <v>0</v>
      </c>
      <c r="X28" s="27">
        <v>3</v>
      </c>
      <c r="Y28" s="28">
        <v>0</v>
      </c>
      <c r="Z28" s="60">
        <v>2</v>
      </c>
    </row>
    <row r="29" spans="1:26" s="61" customFormat="1" ht="16.5" customHeight="1">
      <c r="A29" s="52"/>
      <c r="B29" s="53" t="s">
        <v>8</v>
      </c>
      <c r="C29" s="54">
        <v>0</v>
      </c>
      <c r="D29" s="55">
        <v>31</v>
      </c>
      <c r="E29" s="56">
        <v>0</v>
      </c>
      <c r="F29" s="57">
        <v>4</v>
      </c>
      <c r="G29" s="58">
        <v>0</v>
      </c>
      <c r="H29" s="55">
        <v>0</v>
      </c>
      <c r="I29" s="59">
        <v>0</v>
      </c>
      <c r="J29" s="57">
        <v>0</v>
      </c>
      <c r="K29" s="58">
        <v>0</v>
      </c>
      <c r="L29" s="55">
        <v>5</v>
      </c>
      <c r="M29" s="59">
        <v>0</v>
      </c>
      <c r="N29" s="57">
        <v>4</v>
      </c>
      <c r="O29" s="58">
        <v>0</v>
      </c>
      <c r="P29" s="55">
        <v>1</v>
      </c>
      <c r="Q29" s="59">
        <v>0</v>
      </c>
      <c r="R29" s="57">
        <v>1</v>
      </c>
      <c r="S29" s="54">
        <v>0</v>
      </c>
      <c r="T29" s="60">
        <v>1</v>
      </c>
      <c r="U29" s="58">
        <v>0</v>
      </c>
      <c r="V29" s="60">
        <v>3</v>
      </c>
      <c r="W29" s="59">
        <v>0</v>
      </c>
      <c r="X29" s="57">
        <v>1</v>
      </c>
      <c r="Y29" s="58">
        <v>0</v>
      </c>
      <c r="Z29" s="60">
        <v>11</v>
      </c>
    </row>
    <row r="30" spans="1:26" s="5" customFormat="1" ht="16.5" customHeight="1">
      <c r="A30" s="8"/>
      <c r="B30" s="9" t="s">
        <v>9</v>
      </c>
      <c r="C30" s="19">
        <v>0</v>
      </c>
      <c r="D30" s="25">
        <v>43</v>
      </c>
      <c r="E30" s="43">
        <v>0</v>
      </c>
      <c r="F30" s="27">
        <v>6</v>
      </c>
      <c r="G30" s="28">
        <v>0</v>
      </c>
      <c r="H30" s="25">
        <v>0</v>
      </c>
      <c r="I30" s="26">
        <v>0</v>
      </c>
      <c r="J30" s="27">
        <v>0</v>
      </c>
      <c r="K30" s="28">
        <v>0</v>
      </c>
      <c r="L30" s="25">
        <v>4</v>
      </c>
      <c r="M30" s="26">
        <v>0</v>
      </c>
      <c r="N30" s="27">
        <v>10</v>
      </c>
      <c r="O30" s="28">
        <v>0</v>
      </c>
      <c r="P30" s="25">
        <v>1</v>
      </c>
      <c r="Q30" s="26">
        <v>0</v>
      </c>
      <c r="R30" s="27">
        <v>4</v>
      </c>
      <c r="S30" s="19">
        <v>0</v>
      </c>
      <c r="T30" s="29">
        <v>8</v>
      </c>
      <c r="U30" s="28">
        <v>0</v>
      </c>
      <c r="V30" s="29">
        <v>2</v>
      </c>
      <c r="W30" s="26">
        <v>0</v>
      </c>
      <c r="X30" s="27">
        <v>2</v>
      </c>
      <c r="Y30" s="28">
        <v>0</v>
      </c>
      <c r="Z30" s="29">
        <v>6</v>
      </c>
    </row>
    <row r="31" spans="1:26" s="5" customFormat="1" ht="16.5" customHeight="1">
      <c r="A31" s="8"/>
      <c r="B31" s="9" t="s">
        <v>10</v>
      </c>
      <c r="C31" s="19">
        <v>0</v>
      </c>
      <c r="D31" s="25">
        <v>46</v>
      </c>
      <c r="E31" s="43">
        <v>0</v>
      </c>
      <c r="F31" s="27">
        <v>7</v>
      </c>
      <c r="G31" s="28">
        <v>0</v>
      </c>
      <c r="H31" s="25">
        <v>0</v>
      </c>
      <c r="I31" s="26">
        <v>0</v>
      </c>
      <c r="J31" s="27">
        <v>1</v>
      </c>
      <c r="K31" s="28">
        <v>0</v>
      </c>
      <c r="L31" s="25">
        <v>8</v>
      </c>
      <c r="M31" s="26">
        <v>0</v>
      </c>
      <c r="N31" s="27">
        <v>5</v>
      </c>
      <c r="O31" s="28">
        <v>0</v>
      </c>
      <c r="P31" s="25">
        <v>1</v>
      </c>
      <c r="Q31" s="26">
        <v>0</v>
      </c>
      <c r="R31" s="27">
        <v>3</v>
      </c>
      <c r="S31" s="19">
        <v>0</v>
      </c>
      <c r="T31" s="29">
        <v>8</v>
      </c>
      <c r="U31" s="28">
        <v>0</v>
      </c>
      <c r="V31" s="29">
        <v>3</v>
      </c>
      <c r="W31" s="26">
        <v>0</v>
      </c>
      <c r="X31" s="27">
        <v>2</v>
      </c>
      <c r="Y31" s="28">
        <v>0</v>
      </c>
      <c r="Z31" s="29">
        <v>8</v>
      </c>
    </row>
    <row r="32" spans="1:26" s="5" customFormat="1" ht="16.5" customHeight="1">
      <c r="A32" s="8"/>
      <c r="B32" s="9" t="s">
        <v>11</v>
      </c>
      <c r="C32" s="19">
        <v>0</v>
      </c>
      <c r="D32" s="25">
        <v>33</v>
      </c>
      <c r="E32" s="43">
        <v>0</v>
      </c>
      <c r="F32" s="27">
        <v>5</v>
      </c>
      <c r="G32" s="28">
        <v>0</v>
      </c>
      <c r="H32" s="25">
        <v>0</v>
      </c>
      <c r="I32" s="26">
        <v>0</v>
      </c>
      <c r="J32" s="27">
        <v>1</v>
      </c>
      <c r="K32" s="28">
        <v>0</v>
      </c>
      <c r="L32" s="25">
        <v>11</v>
      </c>
      <c r="M32" s="26">
        <v>0</v>
      </c>
      <c r="N32" s="27">
        <v>2</v>
      </c>
      <c r="O32" s="28">
        <v>0</v>
      </c>
      <c r="P32" s="25">
        <v>0</v>
      </c>
      <c r="Q32" s="26">
        <v>0</v>
      </c>
      <c r="R32" s="27">
        <v>2</v>
      </c>
      <c r="S32" s="19">
        <v>0</v>
      </c>
      <c r="T32" s="29">
        <v>5</v>
      </c>
      <c r="U32" s="28">
        <v>0</v>
      </c>
      <c r="V32" s="29">
        <v>2</v>
      </c>
      <c r="W32" s="26">
        <v>0</v>
      </c>
      <c r="X32" s="27">
        <v>1</v>
      </c>
      <c r="Y32" s="28">
        <v>0</v>
      </c>
      <c r="Z32" s="29">
        <v>4</v>
      </c>
    </row>
    <row r="33" spans="1:26" s="5" customFormat="1" ht="16.5" customHeight="1">
      <c r="A33" s="8"/>
      <c r="B33" s="9" t="s">
        <v>12</v>
      </c>
      <c r="C33" s="19">
        <v>0</v>
      </c>
      <c r="D33" s="25">
        <v>32</v>
      </c>
      <c r="E33" s="43">
        <v>0</v>
      </c>
      <c r="F33" s="27">
        <v>1</v>
      </c>
      <c r="G33" s="28">
        <v>0</v>
      </c>
      <c r="H33" s="25">
        <v>0</v>
      </c>
      <c r="I33" s="26">
        <v>0</v>
      </c>
      <c r="J33" s="27">
        <v>0</v>
      </c>
      <c r="K33" s="28">
        <v>0</v>
      </c>
      <c r="L33" s="25">
        <v>7</v>
      </c>
      <c r="M33" s="26">
        <v>0</v>
      </c>
      <c r="N33" s="27">
        <v>5</v>
      </c>
      <c r="O33" s="28">
        <v>0</v>
      </c>
      <c r="P33" s="25">
        <v>0</v>
      </c>
      <c r="Q33" s="26">
        <v>0</v>
      </c>
      <c r="R33" s="27">
        <v>3</v>
      </c>
      <c r="S33" s="19">
        <v>0</v>
      </c>
      <c r="T33" s="29">
        <v>6</v>
      </c>
      <c r="U33" s="28">
        <v>0</v>
      </c>
      <c r="V33" s="29">
        <v>0</v>
      </c>
      <c r="W33" s="26">
        <v>0</v>
      </c>
      <c r="X33" s="27">
        <v>1</v>
      </c>
      <c r="Y33" s="28">
        <v>0</v>
      </c>
      <c r="Z33" s="29">
        <v>9</v>
      </c>
    </row>
    <row r="34" spans="1:26" s="5" customFormat="1" ht="16.5" customHeight="1" thickBot="1">
      <c r="A34" s="10"/>
      <c r="B34" s="11" t="s">
        <v>13</v>
      </c>
      <c r="C34" s="49">
        <v>0</v>
      </c>
      <c r="D34" s="83">
        <v>32</v>
      </c>
      <c r="E34" s="46">
        <v>0</v>
      </c>
      <c r="F34" s="37">
        <v>5</v>
      </c>
      <c r="G34" s="38">
        <v>0</v>
      </c>
      <c r="H34" s="35">
        <v>0</v>
      </c>
      <c r="I34" s="36">
        <v>0</v>
      </c>
      <c r="J34" s="37">
        <v>1</v>
      </c>
      <c r="K34" s="38">
        <v>0</v>
      </c>
      <c r="L34" s="35">
        <v>4</v>
      </c>
      <c r="M34" s="36">
        <v>0</v>
      </c>
      <c r="N34" s="37">
        <v>5</v>
      </c>
      <c r="O34" s="38">
        <v>0</v>
      </c>
      <c r="P34" s="35">
        <v>0</v>
      </c>
      <c r="Q34" s="36">
        <v>0</v>
      </c>
      <c r="R34" s="37">
        <v>1</v>
      </c>
      <c r="S34" s="21">
        <v>0</v>
      </c>
      <c r="T34" s="39">
        <v>4</v>
      </c>
      <c r="U34" s="38">
        <v>0</v>
      </c>
      <c r="V34" s="39">
        <v>4</v>
      </c>
      <c r="W34" s="36">
        <v>0</v>
      </c>
      <c r="X34" s="37">
        <v>1</v>
      </c>
      <c r="Y34" s="38">
        <v>0</v>
      </c>
      <c r="Z34" s="39">
        <v>7</v>
      </c>
    </row>
    <row r="35" spans="1:26" s="5" customFormat="1" ht="16.5" customHeight="1" thickTop="1">
      <c r="A35" s="15" t="s">
        <v>81</v>
      </c>
      <c r="B35" s="16" t="s">
        <v>2</v>
      </c>
      <c r="C35" s="54">
        <f aca="true" t="shared" si="0" ref="C35:C46">SUM(E35,G35,I35,K35,M35,O35,Q35,S35,U35,W35,Y35)</f>
        <v>0</v>
      </c>
      <c r="D35" s="55">
        <f aca="true" t="shared" si="1" ref="D35:D46">SUM(F35,H35,J35,L35,N35,P35,R35,T35,V35,X35,Z35)</f>
        <v>78</v>
      </c>
      <c r="E35" s="45">
        <v>0</v>
      </c>
      <c r="F35" s="32">
        <v>11</v>
      </c>
      <c r="G35" s="33">
        <v>0</v>
      </c>
      <c r="H35" s="30">
        <v>1</v>
      </c>
      <c r="I35" s="31">
        <v>0</v>
      </c>
      <c r="J35" s="32">
        <v>0</v>
      </c>
      <c r="K35" s="33">
        <v>0</v>
      </c>
      <c r="L35" s="30">
        <v>5</v>
      </c>
      <c r="M35" s="31">
        <v>0</v>
      </c>
      <c r="N35" s="32">
        <v>11</v>
      </c>
      <c r="O35" s="33">
        <v>0</v>
      </c>
      <c r="P35" s="30">
        <v>2</v>
      </c>
      <c r="Q35" s="31">
        <v>0</v>
      </c>
      <c r="R35" s="32">
        <v>2</v>
      </c>
      <c r="S35" s="20">
        <v>0</v>
      </c>
      <c r="T35" s="34">
        <v>9</v>
      </c>
      <c r="U35" s="33">
        <v>0</v>
      </c>
      <c r="V35" s="34">
        <v>1</v>
      </c>
      <c r="W35" s="31">
        <v>0</v>
      </c>
      <c r="X35" s="32">
        <v>3</v>
      </c>
      <c r="Y35" s="33">
        <v>0</v>
      </c>
      <c r="Z35" s="34">
        <v>33</v>
      </c>
    </row>
    <row r="36" spans="1:26" s="5" customFormat="1" ht="16.5" customHeight="1">
      <c r="A36" s="8"/>
      <c r="B36" s="9" t="s">
        <v>3</v>
      </c>
      <c r="C36" s="54">
        <f t="shared" si="0"/>
        <v>1</v>
      </c>
      <c r="D36" s="55">
        <f t="shared" si="1"/>
        <v>73</v>
      </c>
      <c r="E36" s="43">
        <v>1</v>
      </c>
      <c r="F36" s="27">
        <v>5</v>
      </c>
      <c r="G36" s="28">
        <v>0</v>
      </c>
      <c r="H36" s="25">
        <v>0</v>
      </c>
      <c r="I36" s="26">
        <v>0</v>
      </c>
      <c r="J36" s="27">
        <v>0</v>
      </c>
      <c r="K36" s="28">
        <v>0</v>
      </c>
      <c r="L36" s="25">
        <v>4</v>
      </c>
      <c r="M36" s="26">
        <v>0</v>
      </c>
      <c r="N36" s="27">
        <v>8</v>
      </c>
      <c r="O36" s="28">
        <v>0</v>
      </c>
      <c r="P36" s="25">
        <v>1</v>
      </c>
      <c r="Q36" s="26">
        <v>0</v>
      </c>
      <c r="R36" s="27">
        <v>3</v>
      </c>
      <c r="S36" s="19">
        <v>0</v>
      </c>
      <c r="T36" s="29">
        <v>15</v>
      </c>
      <c r="U36" s="28">
        <v>0</v>
      </c>
      <c r="V36" s="29">
        <v>0</v>
      </c>
      <c r="W36" s="26">
        <v>0</v>
      </c>
      <c r="X36" s="27">
        <v>3</v>
      </c>
      <c r="Y36" s="28">
        <v>0</v>
      </c>
      <c r="Z36" s="29">
        <v>34</v>
      </c>
    </row>
    <row r="37" spans="1:26" s="5" customFormat="1" ht="16.5" customHeight="1">
      <c r="A37" s="8"/>
      <c r="B37" s="9" t="s">
        <v>4</v>
      </c>
      <c r="C37" s="54">
        <f t="shared" si="0"/>
        <v>0</v>
      </c>
      <c r="D37" s="55">
        <f t="shared" si="1"/>
        <v>49</v>
      </c>
      <c r="E37" s="43">
        <v>0</v>
      </c>
      <c r="F37" s="27">
        <v>5</v>
      </c>
      <c r="G37" s="28">
        <v>0</v>
      </c>
      <c r="H37" s="25">
        <v>0</v>
      </c>
      <c r="I37" s="26">
        <v>0</v>
      </c>
      <c r="J37" s="27">
        <v>0</v>
      </c>
      <c r="K37" s="28">
        <v>0</v>
      </c>
      <c r="L37" s="25">
        <v>1</v>
      </c>
      <c r="M37" s="26">
        <v>0</v>
      </c>
      <c r="N37" s="27">
        <v>12</v>
      </c>
      <c r="O37" s="28">
        <v>0</v>
      </c>
      <c r="P37" s="25">
        <v>1</v>
      </c>
      <c r="Q37" s="26">
        <v>0</v>
      </c>
      <c r="R37" s="27">
        <v>3</v>
      </c>
      <c r="S37" s="19">
        <v>0</v>
      </c>
      <c r="T37" s="29">
        <v>5</v>
      </c>
      <c r="U37" s="28">
        <v>0</v>
      </c>
      <c r="V37" s="29">
        <v>5</v>
      </c>
      <c r="W37" s="26">
        <v>0</v>
      </c>
      <c r="X37" s="27">
        <v>2</v>
      </c>
      <c r="Y37" s="28">
        <v>0</v>
      </c>
      <c r="Z37" s="29">
        <v>15</v>
      </c>
    </row>
    <row r="38" spans="1:26" s="5" customFormat="1" ht="16.5" customHeight="1">
      <c r="A38" s="8"/>
      <c r="B38" s="9" t="s">
        <v>5</v>
      </c>
      <c r="C38" s="54">
        <f t="shared" si="0"/>
        <v>0</v>
      </c>
      <c r="D38" s="55">
        <f t="shared" si="1"/>
        <v>33</v>
      </c>
      <c r="E38" s="43">
        <v>0</v>
      </c>
      <c r="F38" s="27">
        <v>6</v>
      </c>
      <c r="G38" s="28">
        <v>0</v>
      </c>
      <c r="H38" s="25">
        <v>0</v>
      </c>
      <c r="I38" s="26">
        <v>0</v>
      </c>
      <c r="J38" s="27">
        <v>0</v>
      </c>
      <c r="K38" s="28">
        <v>0</v>
      </c>
      <c r="L38" s="25">
        <v>6</v>
      </c>
      <c r="M38" s="26">
        <v>0</v>
      </c>
      <c r="N38" s="27">
        <v>5</v>
      </c>
      <c r="O38" s="28">
        <v>0</v>
      </c>
      <c r="P38" s="25">
        <v>0</v>
      </c>
      <c r="Q38" s="26">
        <v>0</v>
      </c>
      <c r="R38" s="27">
        <v>3</v>
      </c>
      <c r="S38" s="19">
        <v>0</v>
      </c>
      <c r="T38" s="29">
        <v>2</v>
      </c>
      <c r="U38" s="28">
        <v>0</v>
      </c>
      <c r="V38" s="29">
        <v>3</v>
      </c>
      <c r="W38" s="26">
        <v>0</v>
      </c>
      <c r="X38" s="27">
        <v>2</v>
      </c>
      <c r="Y38" s="28">
        <v>0</v>
      </c>
      <c r="Z38" s="29">
        <v>6</v>
      </c>
    </row>
    <row r="39" spans="1:26" s="5" customFormat="1" ht="16.5" customHeight="1">
      <c r="A39" s="8"/>
      <c r="B39" s="9" t="s">
        <v>6</v>
      </c>
      <c r="C39" s="54">
        <f t="shared" si="0"/>
        <v>2</v>
      </c>
      <c r="D39" s="55">
        <f t="shared" si="1"/>
        <v>68</v>
      </c>
      <c r="E39" s="43">
        <v>0</v>
      </c>
      <c r="F39" s="27">
        <v>8</v>
      </c>
      <c r="G39" s="28">
        <v>0</v>
      </c>
      <c r="H39" s="25">
        <v>0</v>
      </c>
      <c r="I39" s="26">
        <v>0</v>
      </c>
      <c r="J39" s="27">
        <v>0</v>
      </c>
      <c r="K39" s="28">
        <v>0</v>
      </c>
      <c r="L39" s="25">
        <v>6</v>
      </c>
      <c r="M39" s="26">
        <v>2</v>
      </c>
      <c r="N39" s="27">
        <v>5</v>
      </c>
      <c r="O39" s="28">
        <v>0</v>
      </c>
      <c r="P39" s="25">
        <v>0</v>
      </c>
      <c r="Q39" s="26">
        <v>0</v>
      </c>
      <c r="R39" s="27">
        <v>4</v>
      </c>
      <c r="S39" s="19">
        <v>0</v>
      </c>
      <c r="T39" s="29">
        <v>4</v>
      </c>
      <c r="U39" s="28">
        <v>0</v>
      </c>
      <c r="V39" s="29">
        <v>3</v>
      </c>
      <c r="W39" s="26">
        <v>0</v>
      </c>
      <c r="X39" s="27">
        <v>0</v>
      </c>
      <c r="Y39" s="28">
        <v>0</v>
      </c>
      <c r="Z39" s="29">
        <v>38</v>
      </c>
    </row>
    <row r="40" spans="1:26" s="61" customFormat="1" ht="16.5" customHeight="1">
      <c r="A40" s="52"/>
      <c r="B40" s="53" t="s">
        <v>7</v>
      </c>
      <c r="C40" s="54">
        <f t="shared" si="0"/>
        <v>1</v>
      </c>
      <c r="D40" s="55">
        <f t="shared" si="1"/>
        <v>34</v>
      </c>
      <c r="E40" s="43">
        <v>0</v>
      </c>
      <c r="F40" s="57">
        <v>5</v>
      </c>
      <c r="G40" s="28">
        <v>0</v>
      </c>
      <c r="H40" s="25">
        <v>0</v>
      </c>
      <c r="I40" s="26">
        <v>0</v>
      </c>
      <c r="J40" s="27">
        <v>0</v>
      </c>
      <c r="K40" s="28">
        <v>1</v>
      </c>
      <c r="L40" s="55">
        <v>5</v>
      </c>
      <c r="M40" s="26">
        <v>0</v>
      </c>
      <c r="N40" s="57">
        <v>6</v>
      </c>
      <c r="O40" s="28">
        <v>0</v>
      </c>
      <c r="P40" s="55">
        <v>0</v>
      </c>
      <c r="Q40" s="26">
        <v>0</v>
      </c>
      <c r="R40" s="27">
        <v>4</v>
      </c>
      <c r="S40" s="19">
        <v>0</v>
      </c>
      <c r="T40" s="60">
        <v>2</v>
      </c>
      <c r="U40" s="58">
        <v>0</v>
      </c>
      <c r="V40" s="60">
        <v>2</v>
      </c>
      <c r="W40" s="26">
        <v>0</v>
      </c>
      <c r="X40" s="27">
        <v>1</v>
      </c>
      <c r="Y40" s="28">
        <v>0</v>
      </c>
      <c r="Z40" s="60">
        <v>9</v>
      </c>
    </row>
    <row r="41" spans="1:26" s="61" customFormat="1" ht="16.5" customHeight="1">
      <c r="A41" s="52"/>
      <c r="B41" s="53" t="s">
        <v>8</v>
      </c>
      <c r="C41" s="54">
        <f t="shared" si="0"/>
        <v>0</v>
      </c>
      <c r="D41" s="55">
        <f t="shared" si="1"/>
        <v>54</v>
      </c>
      <c r="E41" s="56">
        <v>0</v>
      </c>
      <c r="F41" s="57">
        <v>9</v>
      </c>
      <c r="G41" s="58">
        <v>0</v>
      </c>
      <c r="H41" s="55">
        <v>0</v>
      </c>
      <c r="I41" s="59">
        <v>0</v>
      </c>
      <c r="J41" s="57">
        <v>0</v>
      </c>
      <c r="K41" s="58">
        <v>0</v>
      </c>
      <c r="L41" s="55">
        <v>10</v>
      </c>
      <c r="M41" s="59">
        <v>0</v>
      </c>
      <c r="N41" s="57">
        <v>8</v>
      </c>
      <c r="O41" s="58">
        <v>0</v>
      </c>
      <c r="P41" s="55">
        <v>1</v>
      </c>
      <c r="Q41" s="59">
        <v>0</v>
      </c>
      <c r="R41" s="57">
        <v>0</v>
      </c>
      <c r="S41" s="54">
        <v>0</v>
      </c>
      <c r="T41" s="60">
        <v>3</v>
      </c>
      <c r="U41" s="58">
        <v>0</v>
      </c>
      <c r="V41" s="60">
        <v>0</v>
      </c>
      <c r="W41" s="59">
        <v>0</v>
      </c>
      <c r="X41" s="57">
        <v>2</v>
      </c>
      <c r="Y41" s="58">
        <v>0</v>
      </c>
      <c r="Z41" s="60">
        <v>21</v>
      </c>
    </row>
    <row r="42" spans="1:26" s="5" customFormat="1" ht="16.5" customHeight="1">
      <c r="A42" s="8"/>
      <c r="B42" s="9" t="s">
        <v>9</v>
      </c>
      <c r="C42" s="19">
        <f t="shared" si="0"/>
        <v>0</v>
      </c>
      <c r="D42" s="25">
        <f t="shared" si="1"/>
        <v>56</v>
      </c>
      <c r="E42" s="43">
        <v>0</v>
      </c>
      <c r="F42" s="27">
        <v>5</v>
      </c>
      <c r="G42" s="28">
        <v>0</v>
      </c>
      <c r="H42" s="25">
        <v>0</v>
      </c>
      <c r="I42" s="26">
        <v>0</v>
      </c>
      <c r="J42" s="27">
        <v>0</v>
      </c>
      <c r="K42" s="28">
        <v>0</v>
      </c>
      <c r="L42" s="25">
        <v>5</v>
      </c>
      <c r="M42" s="26">
        <v>0</v>
      </c>
      <c r="N42" s="27">
        <v>9</v>
      </c>
      <c r="O42" s="28">
        <v>0</v>
      </c>
      <c r="P42" s="25">
        <v>3</v>
      </c>
      <c r="Q42" s="26">
        <v>0</v>
      </c>
      <c r="R42" s="27">
        <v>1</v>
      </c>
      <c r="S42" s="19">
        <v>0</v>
      </c>
      <c r="T42" s="29">
        <v>2</v>
      </c>
      <c r="U42" s="28">
        <v>0</v>
      </c>
      <c r="V42" s="29">
        <v>2</v>
      </c>
      <c r="W42" s="26">
        <v>0</v>
      </c>
      <c r="X42" s="27">
        <v>0</v>
      </c>
      <c r="Y42" s="28">
        <v>0</v>
      </c>
      <c r="Z42" s="29">
        <v>29</v>
      </c>
    </row>
    <row r="43" spans="1:26" s="5" customFormat="1" ht="16.5" customHeight="1">
      <c r="A43" s="8"/>
      <c r="B43" s="9" t="s">
        <v>10</v>
      </c>
      <c r="C43" s="19">
        <f t="shared" si="0"/>
        <v>0</v>
      </c>
      <c r="D43" s="25">
        <f t="shared" si="1"/>
        <v>47</v>
      </c>
      <c r="E43" s="43">
        <v>0</v>
      </c>
      <c r="F43" s="27">
        <v>6</v>
      </c>
      <c r="G43" s="28">
        <v>0</v>
      </c>
      <c r="H43" s="25">
        <v>0</v>
      </c>
      <c r="I43" s="26">
        <v>0</v>
      </c>
      <c r="J43" s="27">
        <v>1</v>
      </c>
      <c r="K43" s="28">
        <v>0</v>
      </c>
      <c r="L43" s="25">
        <v>6</v>
      </c>
      <c r="M43" s="26">
        <v>0</v>
      </c>
      <c r="N43" s="27">
        <v>6</v>
      </c>
      <c r="O43" s="28">
        <v>0</v>
      </c>
      <c r="P43" s="25">
        <v>1</v>
      </c>
      <c r="Q43" s="26">
        <v>0</v>
      </c>
      <c r="R43" s="27">
        <v>5</v>
      </c>
      <c r="S43" s="19">
        <v>0</v>
      </c>
      <c r="T43" s="29">
        <v>3</v>
      </c>
      <c r="U43" s="28">
        <v>0</v>
      </c>
      <c r="V43" s="29">
        <v>0</v>
      </c>
      <c r="W43" s="26">
        <v>0</v>
      </c>
      <c r="X43" s="27">
        <v>1</v>
      </c>
      <c r="Y43" s="28">
        <v>0</v>
      </c>
      <c r="Z43" s="29">
        <v>18</v>
      </c>
    </row>
    <row r="44" spans="1:26" s="5" customFormat="1" ht="16.5" customHeight="1">
      <c r="A44" s="8"/>
      <c r="B44" s="9" t="s">
        <v>11</v>
      </c>
      <c r="C44" s="19">
        <f t="shared" si="0"/>
        <v>2</v>
      </c>
      <c r="D44" s="25">
        <f t="shared" si="1"/>
        <v>55</v>
      </c>
      <c r="E44" s="43">
        <v>0</v>
      </c>
      <c r="F44" s="27">
        <v>7</v>
      </c>
      <c r="G44" s="28">
        <v>0</v>
      </c>
      <c r="H44" s="25">
        <v>0</v>
      </c>
      <c r="I44" s="26">
        <v>0</v>
      </c>
      <c r="J44" s="27">
        <v>0</v>
      </c>
      <c r="K44" s="28">
        <v>0</v>
      </c>
      <c r="L44" s="25">
        <v>10</v>
      </c>
      <c r="M44" s="26">
        <v>0</v>
      </c>
      <c r="N44" s="27">
        <v>9</v>
      </c>
      <c r="O44" s="28">
        <v>0</v>
      </c>
      <c r="P44" s="25">
        <v>0</v>
      </c>
      <c r="Q44" s="26">
        <v>0</v>
      </c>
      <c r="R44" s="27">
        <v>7</v>
      </c>
      <c r="S44" s="19">
        <v>0</v>
      </c>
      <c r="T44" s="29">
        <v>6</v>
      </c>
      <c r="U44" s="28">
        <v>0</v>
      </c>
      <c r="V44" s="29">
        <v>1</v>
      </c>
      <c r="W44" s="26">
        <v>0</v>
      </c>
      <c r="X44" s="27">
        <v>0</v>
      </c>
      <c r="Y44" s="28">
        <v>2</v>
      </c>
      <c r="Z44" s="29">
        <v>15</v>
      </c>
    </row>
    <row r="45" spans="1:26" s="5" customFormat="1" ht="16.5" customHeight="1">
      <c r="A45" s="8"/>
      <c r="B45" s="9" t="s">
        <v>12</v>
      </c>
      <c r="C45" s="19">
        <f t="shared" si="0"/>
        <v>0</v>
      </c>
      <c r="D45" s="25">
        <f t="shared" si="1"/>
        <v>89</v>
      </c>
      <c r="E45" s="43">
        <v>0</v>
      </c>
      <c r="F45" s="27">
        <v>6</v>
      </c>
      <c r="G45" s="28">
        <v>0</v>
      </c>
      <c r="H45" s="25">
        <v>1</v>
      </c>
      <c r="I45" s="26">
        <v>0</v>
      </c>
      <c r="J45" s="27">
        <v>1</v>
      </c>
      <c r="K45" s="28">
        <v>0</v>
      </c>
      <c r="L45" s="25">
        <v>8</v>
      </c>
      <c r="M45" s="26">
        <v>0</v>
      </c>
      <c r="N45" s="27">
        <v>6</v>
      </c>
      <c r="O45" s="28">
        <v>0</v>
      </c>
      <c r="P45" s="25">
        <v>1</v>
      </c>
      <c r="Q45" s="26">
        <v>0</v>
      </c>
      <c r="R45" s="27">
        <v>2</v>
      </c>
      <c r="S45" s="19">
        <v>0</v>
      </c>
      <c r="T45" s="29">
        <v>4</v>
      </c>
      <c r="U45" s="28">
        <v>0</v>
      </c>
      <c r="V45" s="29">
        <v>0</v>
      </c>
      <c r="W45" s="26">
        <v>0</v>
      </c>
      <c r="X45" s="27">
        <v>1</v>
      </c>
      <c r="Y45" s="28">
        <v>0</v>
      </c>
      <c r="Z45" s="29">
        <v>59</v>
      </c>
    </row>
    <row r="46" spans="1:26" s="5" customFormat="1" ht="16.5" customHeight="1">
      <c r="A46" s="10"/>
      <c r="B46" s="11" t="s">
        <v>13</v>
      </c>
      <c r="C46" s="21">
        <f t="shared" si="0"/>
        <v>0</v>
      </c>
      <c r="D46" s="35">
        <f t="shared" si="1"/>
        <v>78</v>
      </c>
      <c r="E46" s="46">
        <v>0</v>
      </c>
      <c r="F46" s="37">
        <v>8</v>
      </c>
      <c r="G46" s="38">
        <v>0</v>
      </c>
      <c r="H46" s="35">
        <v>0</v>
      </c>
      <c r="I46" s="36">
        <v>0</v>
      </c>
      <c r="J46" s="37">
        <v>0</v>
      </c>
      <c r="K46" s="38">
        <v>0</v>
      </c>
      <c r="L46" s="35">
        <v>8</v>
      </c>
      <c r="M46" s="36">
        <v>0</v>
      </c>
      <c r="N46" s="37">
        <v>7</v>
      </c>
      <c r="O46" s="38">
        <v>0</v>
      </c>
      <c r="P46" s="35">
        <v>1</v>
      </c>
      <c r="Q46" s="36">
        <v>0</v>
      </c>
      <c r="R46" s="37">
        <v>3</v>
      </c>
      <c r="S46" s="21">
        <v>0</v>
      </c>
      <c r="T46" s="39">
        <v>7</v>
      </c>
      <c r="U46" s="38">
        <v>0</v>
      </c>
      <c r="V46" s="39">
        <v>1</v>
      </c>
      <c r="W46" s="36">
        <v>0</v>
      </c>
      <c r="X46" s="37">
        <v>2</v>
      </c>
      <c r="Y46" s="38">
        <v>0</v>
      </c>
      <c r="Z46" s="39">
        <v>41</v>
      </c>
    </row>
    <row r="47" spans="1:26" s="5" customFormat="1" ht="16.5" customHeight="1" thickBot="1">
      <c r="A47" s="64" t="s">
        <v>37</v>
      </c>
      <c r="B47" s="6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s="5" customFormat="1" ht="16.5" customHeight="1">
      <c r="A48" s="95" t="str">
        <f>"2022（令和4）年"&amp;COUNTA(E35:E46)&amp;"月迄"</f>
        <v>2022（令和4）年12月迄</v>
      </c>
      <c r="B48" s="96"/>
      <c r="C48" s="76">
        <f>SUM(C35:C46)</f>
        <v>6</v>
      </c>
      <c r="D48" s="77">
        <f>SUM(D35:D46)</f>
        <v>714</v>
      </c>
      <c r="E48" s="77">
        <f>SUM(E35:E46)</f>
        <v>1</v>
      </c>
      <c r="F48" s="77">
        <f aca="true" t="shared" si="2" ref="F48:Z48">SUM(F35:F46)</f>
        <v>81</v>
      </c>
      <c r="G48" s="77">
        <f>SUM(G35:G46)</f>
        <v>0</v>
      </c>
      <c r="H48" s="77">
        <f t="shared" si="2"/>
        <v>2</v>
      </c>
      <c r="I48" s="77">
        <f t="shared" si="2"/>
        <v>0</v>
      </c>
      <c r="J48" s="78">
        <f>SUM(J35:J46)</f>
        <v>2</v>
      </c>
      <c r="K48" s="77">
        <f t="shared" si="2"/>
        <v>1</v>
      </c>
      <c r="L48" s="77">
        <f t="shared" si="2"/>
        <v>74</v>
      </c>
      <c r="M48" s="77">
        <f t="shared" si="2"/>
        <v>2</v>
      </c>
      <c r="N48" s="77">
        <f t="shared" si="2"/>
        <v>92</v>
      </c>
      <c r="O48" s="77">
        <f t="shared" si="2"/>
        <v>0</v>
      </c>
      <c r="P48" s="77">
        <f t="shared" si="2"/>
        <v>11</v>
      </c>
      <c r="Q48" s="77">
        <f t="shared" si="2"/>
        <v>0</v>
      </c>
      <c r="R48" s="77">
        <f t="shared" si="2"/>
        <v>37</v>
      </c>
      <c r="S48" s="76">
        <f t="shared" si="2"/>
        <v>0</v>
      </c>
      <c r="T48" s="77">
        <f t="shared" si="2"/>
        <v>62</v>
      </c>
      <c r="U48" s="77">
        <f t="shared" si="2"/>
        <v>0</v>
      </c>
      <c r="V48" s="77">
        <f t="shared" si="2"/>
        <v>18</v>
      </c>
      <c r="W48" s="77">
        <f t="shared" si="2"/>
        <v>0</v>
      </c>
      <c r="X48" s="77">
        <f t="shared" si="2"/>
        <v>17</v>
      </c>
      <c r="Y48" s="77">
        <f t="shared" si="2"/>
        <v>2</v>
      </c>
      <c r="Z48" s="79">
        <f t="shared" si="2"/>
        <v>318</v>
      </c>
    </row>
    <row r="49" spans="1:26" s="5" customFormat="1" ht="16.5" customHeight="1">
      <c r="A49" s="97" t="str">
        <f>"前年"&amp;COUNTA(E35:E46)&amp;"月迄"</f>
        <v>前年12月迄</v>
      </c>
      <c r="B49" s="98"/>
      <c r="C49" s="80">
        <f ca="1">SUM(C23:(INDIRECT("c"&amp;COUNT($E35:$E46)+22)))</f>
        <v>1</v>
      </c>
      <c r="D49" s="80">
        <f ca="1">SUM(D23:(INDIRECT("d"&amp;COUNT($E35:$E46)+22)))</f>
        <v>454</v>
      </c>
      <c r="E49" s="80">
        <f ca="1">SUM(E23:(INDIRECT("e"&amp;COUNT($E35:$E46)+22)))</f>
        <v>0</v>
      </c>
      <c r="F49" s="80">
        <f ca="1">SUM(F23:(INDIRECT("f"&amp;COUNT($E35:$E46)+22)))</f>
        <v>83</v>
      </c>
      <c r="G49" s="80">
        <f ca="1">SUM(G23:(INDIRECT("g"&amp;COUNT($E35:$E46)+22)))</f>
        <v>0</v>
      </c>
      <c r="H49" s="80">
        <f ca="1">SUM(H23:(INDIRECT("h"&amp;COUNT($E35:$E46)+22)))</f>
        <v>1</v>
      </c>
      <c r="I49" s="80">
        <f ca="1">SUM(I23:(INDIRECT("i"&amp;COUNT($E35:$E46)+22)))</f>
        <v>0</v>
      </c>
      <c r="J49" s="80">
        <f ca="1">SUM(J23:(INDIRECT("j"&amp;COUNT($E35:$E46)+22)))</f>
        <v>4</v>
      </c>
      <c r="K49" s="80">
        <f ca="1">SUM(K23:(INDIRECT("k"&amp;COUNT($E35:$E46)+22)))</f>
        <v>0</v>
      </c>
      <c r="L49" s="80">
        <f ca="1">SUM(L23:(INDIRECT("l"&amp;COUNT($E35:$E46)+22)))</f>
        <v>57</v>
      </c>
      <c r="M49" s="80">
        <f ca="1">SUM(M23:(INDIRECT("m"&amp;COUNT($E35:$E46)+22)))</f>
        <v>1</v>
      </c>
      <c r="N49" s="80">
        <f ca="1">SUM(N23:(INDIRECT("n"&amp;COUNT($E35:$E46)+22)))</f>
        <v>76</v>
      </c>
      <c r="O49" s="80">
        <f ca="1">SUM(O23:(INDIRECT("o"&amp;COUNT($E35:$E46)+22)))</f>
        <v>0</v>
      </c>
      <c r="P49" s="80">
        <f ca="1">SUM(P23:(INDIRECT("p"&amp;COUNT($E35:$E46)+22)))</f>
        <v>4</v>
      </c>
      <c r="Q49" s="80">
        <f ca="1">SUM(Q23:(INDIRECT("q"&amp;COUNT($E35:$E46)+22)))</f>
        <v>0</v>
      </c>
      <c r="R49" s="80">
        <f ca="1">SUM(R23:(INDIRECT("r"&amp;COUNT($E35:$E46)+22)))</f>
        <v>23</v>
      </c>
      <c r="S49" s="80">
        <f ca="1">SUM(S23:(INDIRECT("s"&amp;COUNT($E35:$E46)+22)))</f>
        <v>0</v>
      </c>
      <c r="T49" s="80">
        <f ca="1">SUM(T23:(INDIRECT("t"&amp;COUNT($E35:$E46)+22)))</f>
        <v>73</v>
      </c>
      <c r="U49" s="80">
        <f ca="1">SUM(U23:(INDIRECT("u"&amp;COUNT($E35:$E46)+22)))</f>
        <v>0</v>
      </c>
      <c r="V49" s="80">
        <f ca="1">SUM(V23:(INDIRECT("v"&amp;COUNT($E35:$E46)+22)))</f>
        <v>22</v>
      </c>
      <c r="W49" s="80">
        <f ca="1">SUM(W23:(INDIRECT("w"&amp;COUNT($E35:$E46)+22)))</f>
        <v>0</v>
      </c>
      <c r="X49" s="80">
        <f ca="1">SUM(X23:(INDIRECT("x"&amp;COUNT($E35:$E46)+22)))</f>
        <v>16</v>
      </c>
      <c r="Y49" s="80">
        <f ca="1">SUM(Y23:(INDIRECT("y"&amp;COUNT($E35:$E46)+22)))</f>
        <v>0</v>
      </c>
      <c r="Z49" s="81">
        <f ca="1">SUM(Z23:(INDIRECT("z"&amp;COUNT($E35:$E46)+22)))</f>
        <v>95</v>
      </c>
    </row>
    <row r="50" spans="1:26" s="5" customFormat="1" ht="16.5" customHeight="1" thickBot="1">
      <c r="A50" s="99" t="s">
        <v>36</v>
      </c>
      <c r="B50" s="100"/>
      <c r="C50" s="82">
        <f>C48-C49</f>
        <v>5</v>
      </c>
      <c r="D50" s="62">
        <f aca="true" t="shared" si="3" ref="D50:Z50">D48-D49</f>
        <v>260</v>
      </c>
      <c r="E50" s="62">
        <f t="shared" si="3"/>
        <v>1</v>
      </c>
      <c r="F50" s="62">
        <f t="shared" si="3"/>
        <v>-2</v>
      </c>
      <c r="G50" s="62">
        <f t="shared" si="3"/>
        <v>0</v>
      </c>
      <c r="H50" s="62">
        <f t="shared" si="3"/>
        <v>1</v>
      </c>
      <c r="I50" s="62">
        <f t="shared" si="3"/>
        <v>0</v>
      </c>
      <c r="J50" s="66">
        <f t="shared" si="3"/>
        <v>-2</v>
      </c>
      <c r="K50" s="62">
        <f t="shared" si="3"/>
        <v>1</v>
      </c>
      <c r="L50" s="62">
        <f t="shared" si="3"/>
        <v>17</v>
      </c>
      <c r="M50" s="62">
        <f t="shared" si="3"/>
        <v>1</v>
      </c>
      <c r="N50" s="62">
        <f t="shared" si="3"/>
        <v>16</v>
      </c>
      <c r="O50" s="62">
        <f t="shared" si="3"/>
        <v>0</v>
      </c>
      <c r="P50" s="62">
        <f t="shared" si="3"/>
        <v>7</v>
      </c>
      <c r="Q50" s="62">
        <f t="shared" si="3"/>
        <v>0</v>
      </c>
      <c r="R50" s="62">
        <f t="shared" si="3"/>
        <v>14</v>
      </c>
      <c r="S50" s="82">
        <f t="shared" si="3"/>
        <v>0</v>
      </c>
      <c r="T50" s="62">
        <f t="shared" si="3"/>
        <v>-11</v>
      </c>
      <c r="U50" s="62">
        <f t="shared" si="3"/>
        <v>0</v>
      </c>
      <c r="V50" s="62">
        <f t="shared" si="3"/>
        <v>-4</v>
      </c>
      <c r="W50" s="62">
        <f t="shared" si="3"/>
        <v>0</v>
      </c>
      <c r="X50" s="62">
        <f t="shared" si="3"/>
        <v>1</v>
      </c>
      <c r="Y50" s="62">
        <f t="shared" si="3"/>
        <v>2</v>
      </c>
      <c r="Z50" s="63">
        <f t="shared" si="3"/>
        <v>223</v>
      </c>
    </row>
    <row r="51" s="5" customFormat="1" ht="16.5" customHeight="1">
      <c r="A51" s="5" t="s">
        <v>28</v>
      </c>
    </row>
    <row r="52" s="2" customFormat="1" ht="16.5" customHeight="1">
      <c r="A52" s="5" t="s">
        <v>38</v>
      </c>
    </row>
    <row r="53" s="5" customFormat="1" ht="16.5" customHeight="1">
      <c r="A53" s="5" t="s">
        <v>30</v>
      </c>
    </row>
    <row r="54" s="5" customFormat="1" ht="16.5" customHeight="1">
      <c r="B54" s="5" t="s">
        <v>31</v>
      </c>
    </row>
    <row r="55" s="5" customFormat="1" ht="16.5" customHeight="1">
      <c r="B55" s="5" t="s">
        <v>32</v>
      </c>
    </row>
    <row r="56" s="5" customFormat="1" ht="16.5" customHeight="1">
      <c r="B56" s="5" t="s">
        <v>33</v>
      </c>
    </row>
    <row r="57" s="5" customFormat="1" ht="16.5" customHeight="1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</sheetData>
  <sheetProtection/>
  <mergeCells count="16">
    <mergeCell ref="A4:B5"/>
    <mergeCell ref="C4:D4"/>
    <mergeCell ref="E4:F4"/>
    <mergeCell ref="G4:H4"/>
    <mergeCell ref="I4:J4"/>
    <mergeCell ref="K4:L4"/>
    <mergeCell ref="Y4:Z4"/>
    <mergeCell ref="A48:B48"/>
    <mergeCell ref="A49:B49"/>
    <mergeCell ref="A50:B50"/>
    <mergeCell ref="M4:N4"/>
    <mergeCell ref="O4:P4"/>
    <mergeCell ref="Q4:R4"/>
    <mergeCell ref="S4:T4"/>
    <mergeCell ref="U4:V4"/>
    <mergeCell ref="W4:X4"/>
  </mergeCells>
  <conditionalFormatting sqref="C48:Z50">
    <cfRule type="cellIs" priority="1" dxfId="18" operator="lessThan" stopIfTrue="1">
      <formula>0</formula>
    </cfRule>
    <cfRule type="cellIs" priority="2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pane xSplit="2" ySplit="5" topLeftCell="C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75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>
      <c r="A13" s="8" t="s">
        <v>47</v>
      </c>
      <c r="B13" s="14" t="s">
        <v>1</v>
      </c>
      <c r="C13" s="19">
        <v>6</v>
      </c>
      <c r="D13" s="25">
        <v>470</v>
      </c>
      <c r="E13" s="43">
        <v>0</v>
      </c>
      <c r="F13" s="29">
        <v>117</v>
      </c>
      <c r="G13" s="19">
        <v>0</v>
      </c>
      <c r="H13" s="25">
        <v>0</v>
      </c>
      <c r="I13" s="19">
        <v>0</v>
      </c>
      <c r="J13" s="25">
        <v>1</v>
      </c>
      <c r="K13" s="19">
        <v>2</v>
      </c>
      <c r="L13" s="25">
        <v>65</v>
      </c>
      <c r="M13" s="19">
        <v>1</v>
      </c>
      <c r="N13" s="25">
        <v>52</v>
      </c>
      <c r="O13" s="19">
        <v>1</v>
      </c>
      <c r="P13" s="25">
        <v>12</v>
      </c>
      <c r="Q13" s="19">
        <v>1</v>
      </c>
      <c r="R13" s="25">
        <v>73</v>
      </c>
      <c r="S13" s="19">
        <v>1</v>
      </c>
      <c r="T13" s="25">
        <v>33</v>
      </c>
      <c r="U13" s="19">
        <v>0</v>
      </c>
      <c r="V13" s="29">
        <v>11</v>
      </c>
      <c r="W13" s="19">
        <v>0</v>
      </c>
      <c r="X13" s="25">
        <v>15</v>
      </c>
      <c r="Y13" s="19">
        <v>0</v>
      </c>
      <c r="Z13" s="29">
        <v>91</v>
      </c>
    </row>
    <row r="14" spans="1:26" s="14" customFormat="1" ht="18.75" customHeight="1">
      <c r="A14" s="8" t="s">
        <v>48</v>
      </c>
      <c r="B14" s="14" t="s">
        <v>1</v>
      </c>
      <c r="C14" s="19">
        <v>7</v>
      </c>
      <c r="D14" s="25">
        <v>502</v>
      </c>
      <c r="E14" s="43">
        <v>2</v>
      </c>
      <c r="F14" s="29">
        <v>119</v>
      </c>
      <c r="G14" s="19">
        <v>0</v>
      </c>
      <c r="H14" s="25">
        <v>0</v>
      </c>
      <c r="I14" s="19">
        <v>0</v>
      </c>
      <c r="J14" s="25">
        <v>2</v>
      </c>
      <c r="K14" s="19">
        <v>1</v>
      </c>
      <c r="L14" s="25">
        <v>87</v>
      </c>
      <c r="M14" s="19">
        <v>1</v>
      </c>
      <c r="N14" s="25">
        <v>54</v>
      </c>
      <c r="O14" s="19">
        <v>0</v>
      </c>
      <c r="P14" s="25">
        <v>8</v>
      </c>
      <c r="Q14" s="19">
        <v>2</v>
      </c>
      <c r="R14" s="25">
        <v>70</v>
      </c>
      <c r="S14" s="19">
        <v>0</v>
      </c>
      <c r="T14" s="25">
        <v>43</v>
      </c>
      <c r="U14" s="19">
        <v>0</v>
      </c>
      <c r="V14" s="29">
        <v>10</v>
      </c>
      <c r="W14" s="19">
        <v>0</v>
      </c>
      <c r="X14" s="25">
        <v>17</v>
      </c>
      <c r="Y14" s="19">
        <v>1</v>
      </c>
      <c r="Z14" s="29">
        <v>92</v>
      </c>
    </row>
    <row r="15" spans="1:26" s="14" customFormat="1" ht="18.75" customHeight="1">
      <c r="A15" s="8" t="s">
        <v>49</v>
      </c>
      <c r="B15" s="14" t="s">
        <v>1</v>
      </c>
      <c r="C15" s="19">
        <v>7</v>
      </c>
      <c r="D15" s="25">
        <v>549</v>
      </c>
      <c r="E15" s="43">
        <v>1</v>
      </c>
      <c r="F15" s="29">
        <v>135</v>
      </c>
      <c r="G15" s="19">
        <v>0</v>
      </c>
      <c r="H15" s="25">
        <v>1</v>
      </c>
      <c r="I15" s="19">
        <v>0</v>
      </c>
      <c r="J15" s="25">
        <v>1</v>
      </c>
      <c r="K15" s="19">
        <v>2</v>
      </c>
      <c r="L15" s="25">
        <v>82</v>
      </c>
      <c r="M15" s="19">
        <v>0</v>
      </c>
      <c r="N15" s="25">
        <v>65</v>
      </c>
      <c r="O15" s="19">
        <v>0</v>
      </c>
      <c r="P15" s="25">
        <v>13</v>
      </c>
      <c r="Q15" s="19">
        <v>1</v>
      </c>
      <c r="R15" s="25">
        <v>53</v>
      </c>
      <c r="S15" s="19">
        <v>1</v>
      </c>
      <c r="T15" s="25">
        <v>50</v>
      </c>
      <c r="U15" s="19">
        <v>0</v>
      </c>
      <c r="V15" s="29">
        <v>25</v>
      </c>
      <c r="W15" s="19">
        <v>1</v>
      </c>
      <c r="X15" s="25">
        <v>26</v>
      </c>
      <c r="Y15" s="19">
        <v>1</v>
      </c>
      <c r="Z15" s="29">
        <v>98</v>
      </c>
    </row>
    <row r="16" spans="1:26" s="14" customFormat="1" ht="18.75" customHeight="1">
      <c r="A16" s="8" t="s">
        <v>50</v>
      </c>
      <c r="B16" s="14" t="s">
        <v>1</v>
      </c>
      <c r="C16" s="19">
        <v>7</v>
      </c>
      <c r="D16" s="25">
        <v>538</v>
      </c>
      <c r="E16" s="43">
        <v>0</v>
      </c>
      <c r="F16" s="29">
        <v>124</v>
      </c>
      <c r="G16" s="19">
        <v>0</v>
      </c>
      <c r="H16" s="25">
        <v>0</v>
      </c>
      <c r="I16" s="19">
        <v>0</v>
      </c>
      <c r="J16" s="25">
        <v>3</v>
      </c>
      <c r="K16" s="19">
        <v>2</v>
      </c>
      <c r="L16" s="25">
        <v>93</v>
      </c>
      <c r="M16" s="19">
        <v>1</v>
      </c>
      <c r="N16" s="25">
        <v>64</v>
      </c>
      <c r="O16" s="19">
        <v>2</v>
      </c>
      <c r="P16" s="25">
        <v>7</v>
      </c>
      <c r="Q16" s="19">
        <v>0</v>
      </c>
      <c r="R16" s="25">
        <v>64</v>
      </c>
      <c r="S16" s="19">
        <v>0</v>
      </c>
      <c r="T16" s="25">
        <v>47</v>
      </c>
      <c r="U16" s="19">
        <v>1</v>
      </c>
      <c r="V16" s="29">
        <v>21</v>
      </c>
      <c r="W16" s="19">
        <v>0</v>
      </c>
      <c r="X16" s="25">
        <v>25</v>
      </c>
      <c r="Y16" s="19">
        <v>1</v>
      </c>
      <c r="Z16" s="29">
        <v>90</v>
      </c>
    </row>
    <row r="17" spans="1:26" s="14" customFormat="1" ht="18.75" customHeight="1">
      <c r="A17" s="8" t="s">
        <v>51</v>
      </c>
      <c r="B17" s="14" t="s">
        <v>1</v>
      </c>
      <c r="C17" s="19">
        <v>5</v>
      </c>
      <c r="D17" s="25">
        <v>508</v>
      </c>
      <c r="E17" s="43">
        <v>0</v>
      </c>
      <c r="F17" s="29">
        <v>130</v>
      </c>
      <c r="G17" s="19">
        <v>0</v>
      </c>
      <c r="H17" s="25">
        <v>0</v>
      </c>
      <c r="I17" s="19">
        <v>0</v>
      </c>
      <c r="J17" s="25">
        <v>1</v>
      </c>
      <c r="K17" s="19">
        <v>3</v>
      </c>
      <c r="L17" s="25">
        <v>76</v>
      </c>
      <c r="M17" s="19">
        <v>2</v>
      </c>
      <c r="N17" s="25">
        <v>69</v>
      </c>
      <c r="O17" s="19">
        <v>0</v>
      </c>
      <c r="P17" s="25">
        <v>10</v>
      </c>
      <c r="Q17" s="19">
        <v>0</v>
      </c>
      <c r="R17" s="25">
        <v>72</v>
      </c>
      <c r="S17" s="19">
        <v>0</v>
      </c>
      <c r="T17" s="25">
        <v>36</v>
      </c>
      <c r="U17" s="19">
        <v>0</v>
      </c>
      <c r="V17" s="29">
        <v>14</v>
      </c>
      <c r="W17" s="19">
        <v>0</v>
      </c>
      <c r="X17" s="25">
        <v>21</v>
      </c>
      <c r="Y17" s="19">
        <v>0</v>
      </c>
      <c r="Z17" s="29">
        <v>79</v>
      </c>
    </row>
    <row r="18" spans="1:26" s="14" customFormat="1" ht="18.75" customHeight="1">
      <c r="A18" s="8" t="s">
        <v>52</v>
      </c>
      <c r="B18" s="14" t="s">
        <v>1</v>
      </c>
      <c r="C18" s="19">
        <v>7</v>
      </c>
      <c r="D18" s="25">
        <v>474</v>
      </c>
      <c r="E18" s="43">
        <v>0</v>
      </c>
      <c r="F18" s="27">
        <v>109</v>
      </c>
      <c r="G18" s="28">
        <v>0</v>
      </c>
      <c r="H18" s="25">
        <v>0</v>
      </c>
      <c r="I18" s="19">
        <v>0</v>
      </c>
      <c r="J18" s="25">
        <v>5</v>
      </c>
      <c r="K18" s="19">
        <v>1</v>
      </c>
      <c r="L18" s="25">
        <v>64</v>
      </c>
      <c r="M18" s="19">
        <v>1</v>
      </c>
      <c r="N18" s="29">
        <v>66</v>
      </c>
      <c r="O18" s="28">
        <v>0</v>
      </c>
      <c r="P18" s="25">
        <v>6</v>
      </c>
      <c r="Q18" s="26">
        <v>3</v>
      </c>
      <c r="R18" s="28">
        <v>52</v>
      </c>
      <c r="S18" s="19">
        <v>0</v>
      </c>
      <c r="T18" s="25">
        <v>53</v>
      </c>
      <c r="U18" s="19">
        <v>0</v>
      </c>
      <c r="V18" s="29">
        <v>22</v>
      </c>
      <c r="W18" s="26">
        <v>0</v>
      </c>
      <c r="X18" s="27">
        <v>18</v>
      </c>
      <c r="Y18" s="28">
        <v>2</v>
      </c>
      <c r="Z18" s="29">
        <v>79</v>
      </c>
    </row>
    <row r="19" spans="1:26" s="14" customFormat="1" ht="18.75" customHeight="1">
      <c r="A19" s="8" t="s">
        <v>54</v>
      </c>
      <c r="B19" s="14" t="s">
        <v>1</v>
      </c>
      <c r="C19" s="19">
        <v>5</v>
      </c>
      <c r="D19" s="25">
        <v>498</v>
      </c>
      <c r="E19" s="43">
        <v>1</v>
      </c>
      <c r="F19" s="27">
        <v>101</v>
      </c>
      <c r="G19" s="28">
        <v>0</v>
      </c>
      <c r="H19" s="25">
        <v>3</v>
      </c>
      <c r="I19" s="26">
        <v>0</v>
      </c>
      <c r="J19" s="29">
        <v>1</v>
      </c>
      <c r="K19" s="28">
        <v>1</v>
      </c>
      <c r="L19" s="25">
        <v>71</v>
      </c>
      <c r="M19" s="26">
        <v>2</v>
      </c>
      <c r="N19" s="27">
        <v>57</v>
      </c>
      <c r="O19" s="28">
        <v>1</v>
      </c>
      <c r="P19" s="25">
        <v>11</v>
      </c>
      <c r="Q19" s="26">
        <v>0</v>
      </c>
      <c r="R19" s="28">
        <v>36</v>
      </c>
      <c r="S19" s="26">
        <v>0</v>
      </c>
      <c r="T19" s="27">
        <v>70</v>
      </c>
      <c r="U19" s="28">
        <v>0</v>
      </c>
      <c r="V19" s="29">
        <v>16</v>
      </c>
      <c r="W19" s="26">
        <v>0</v>
      </c>
      <c r="X19" s="27">
        <v>22</v>
      </c>
      <c r="Y19" s="28">
        <v>0</v>
      </c>
      <c r="Z19" s="29">
        <v>110</v>
      </c>
    </row>
    <row r="20" spans="1:26" s="14" customFormat="1" ht="18.75" customHeight="1">
      <c r="A20" s="8" t="s">
        <v>78</v>
      </c>
      <c r="B20" s="14" t="s">
        <v>1</v>
      </c>
      <c r="C20" s="19">
        <v>6</v>
      </c>
      <c r="D20" s="25">
        <v>442</v>
      </c>
      <c r="E20" s="43">
        <v>0</v>
      </c>
      <c r="F20" s="27">
        <v>91</v>
      </c>
      <c r="G20" s="28">
        <v>0</v>
      </c>
      <c r="H20" s="25">
        <v>0</v>
      </c>
      <c r="I20" s="26">
        <v>0</v>
      </c>
      <c r="J20" s="27">
        <v>2</v>
      </c>
      <c r="K20" s="28">
        <v>2</v>
      </c>
      <c r="L20" s="25">
        <v>58</v>
      </c>
      <c r="M20" s="26">
        <v>0</v>
      </c>
      <c r="N20" s="27">
        <v>55</v>
      </c>
      <c r="O20" s="28">
        <v>0</v>
      </c>
      <c r="P20" s="25">
        <v>9</v>
      </c>
      <c r="Q20" s="26">
        <v>1</v>
      </c>
      <c r="R20" s="28">
        <v>31</v>
      </c>
      <c r="S20" s="26">
        <v>0</v>
      </c>
      <c r="T20" s="27">
        <v>55</v>
      </c>
      <c r="U20" s="28">
        <v>2</v>
      </c>
      <c r="V20" s="29">
        <v>23</v>
      </c>
      <c r="W20" s="26">
        <v>0</v>
      </c>
      <c r="X20" s="27">
        <v>22</v>
      </c>
      <c r="Y20" s="28">
        <v>1</v>
      </c>
      <c r="Z20" s="29">
        <v>96</v>
      </c>
    </row>
    <row r="21" spans="1:26" s="14" customFormat="1" ht="18.75" customHeight="1" thickBot="1">
      <c r="A21" s="86" t="s">
        <v>79</v>
      </c>
      <c r="B21" s="14" t="s">
        <v>1</v>
      </c>
      <c r="C21" s="19">
        <v>6</v>
      </c>
      <c r="D21" s="25">
        <v>469</v>
      </c>
      <c r="E21" s="43">
        <v>0</v>
      </c>
      <c r="F21" s="27">
        <v>73</v>
      </c>
      <c r="G21" s="28">
        <v>0</v>
      </c>
      <c r="H21" s="25">
        <v>0</v>
      </c>
      <c r="I21" s="26">
        <v>0</v>
      </c>
      <c r="J21" s="27">
        <v>1</v>
      </c>
      <c r="K21" s="28">
        <v>0</v>
      </c>
      <c r="L21" s="25">
        <v>75</v>
      </c>
      <c r="M21" s="26">
        <v>2</v>
      </c>
      <c r="N21" s="27">
        <v>79</v>
      </c>
      <c r="O21" s="28">
        <v>0</v>
      </c>
      <c r="P21" s="25">
        <v>7</v>
      </c>
      <c r="Q21" s="26">
        <v>2</v>
      </c>
      <c r="R21" s="28">
        <v>27</v>
      </c>
      <c r="S21" s="85">
        <v>0</v>
      </c>
      <c r="T21" s="27">
        <v>53</v>
      </c>
      <c r="U21" s="28">
        <v>0</v>
      </c>
      <c r="V21" s="29">
        <v>10</v>
      </c>
      <c r="W21" s="26">
        <v>1</v>
      </c>
      <c r="X21" s="27">
        <v>28</v>
      </c>
      <c r="Y21" s="28">
        <v>1</v>
      </c>
      <c r="Z21" s="29">
        <v>116</v>
      </c>
    </row>
    <row r="22" spans="1:26" s="5" customFormat="1" ht="16.5" customHeight="1" thickTop="1">
      <c r="A22" s="15" t="s">
        <v>82</v>
      </c>
      <c r="B22" s="16" t="s">
        <v>2</v>
      </c>
      <c r="C22" s="20">
        <v>0</v>
      </c>
      <c r="D22" s="30">
        <v>37</v>
      </c>
      <c r="E22" s="45">
        <v>0</v>
      </c>
      <c r="F22" s="32">
        <v>7</v>
      </c>
      <c r="G22" s="33">
        <v>0</v>
      </c>
      <c r="H22" s="30">
        <v>0</v>
      </c>
      <c r="I22" s="31">
        <v>0</v>
      </c>
      <c r="J22" s="32">
        <v>0</v>
      </c>
      <c r="K22" s="33">
        <v>0</v>
      </c>
      <c r="L22" s="30">
        <v>3</v>
      </c>
      <c r="M22" s="31">
        <v>0</v>
      </c>
      <c r="N22" s="32">
        <v>5</v>
      </c>
      <c r="O22" s="33">
        <v>0</v>
      </c>
      <c r="P22" s="30">
        <v>1</v>
      </c>
      <c r="Q22" s="31">
        <v>0</v>
      </c>
      <c r="R22" s="32">
        <v>4</v>
      </c>
      <c r="S22" s="20">
        <v>0</v>
      </c>
      <c r="T22" s="34">
        <v>5</v>
      </c>
      <c r="U22" s="33">
        <v>0</v>
      </c>
      <c r="V22" s="34">
        <v>3</v>
      </c>
      <c r="W22" s="31">
        <v>0</v>
      </c>
      <c r="X22" s="32">
        <v>0</v>
      </c>
      <c r="Y22" s="33">
        <v>0</v>
      </c>
      <c r="Z22" s="34">
        <v>9</v>
      </c>
    </row>
    <row r="23" spans="1:26" s="5" customFormat="1" ht="16.5" customHeight="1">
      <c r="A23" s="8"/>
      <c r="B23" s="9" t="s">
        <v>3</v>
      </c>
      <c r="C23" s="19">
        <v>0</v>
      </c>
      <c r="D23" s="25">
        <v>34</v>
      </c>
      <c r="E23" s="43">
        <v>0</v>
      </c>
      <c r="F23" s="27">
        <v>3</v>
      </c>
      <c r="G23" s="28">
        <v>0</v>
      </c>
      <c r="H23" s="25">
        <v>0</v>
      </c>
      <c r="I23" s="26">
        <v>0</v>
      </c>
      <c r="J23" s="27">
        <v>0</v>
      </c>
      <c r="K23" s="28">
        <v>0</v>
      </c>
      <c r="L23" s="25">
        <v>4</v>
      </c>
      <c r="M23" s="26">
        <v>0</v>
      </c>
      <c r="N23" s="27">
        <v>8</v>
      </c>
      <c r="O23" s="28">
        <v>0</v>
      </c>
      <c r="P23" s="25">
        <v>0</v>
      </c>
      <c r="Q23" s="26">
        <v>0</v>
      </c>
      <c r="R23" s="27">
        <v>2</v>
      </c>
      <c r="S23" s="19">
        <v>0</v>
      </c>
      <c r="T23" s="29">
        <v>7</v>
      </c>
      <c r="U23" s="28">
        <v>0</v>
      </c>
      <c r="V23" s="29">
        <v>0</v>
      </c>
      <c r="W23" s="26">
        <v>0</v>
      </c>
      <c r="X23" s="27">
        <v>3</v>
      </c>
      <c r="Y23" s="28">
        <v>0</v>
      </c>
      <c r="Z23" s="29">
        <v>7</v>
      </c>
    </row>
    <row r="24" spans="1:26" s="5" customFormat="1" ht="16.5" customHeight="1">
      <c r="A24" s="8"/>
      <c r="B24" s="9" t="s">
        <v>4</v>
      </c>
      <c r="C24" s="19">
        <v>0</v>
      </c>
      <c r="D24" s="25">
        <v>34</v>
      </c>
      <c r="E24" s="43">
        <v>0</v>
      </c>
      <c r="F24" s="27">
        <v>4</v>
      </c>
      <c r="G24" s="28">
        <v>0</v>
      </c>
      <c r="H24" s="25">
        <v>0</v>
      </c>
      <c r="I24" s="26">
        <v>0</v>
      </c>
      <c r="J24" s="27">
        <v>1</v>
      </c>
      <c r="K24" s="28">
        <v>0</v>
      </c>
      <c r="L24" s="25">
        <v>5</v>
      </c>
      <c r="M24" s="26">
        <v>0</v>
      </c>
      <c r="N24" s="27">
        <v>6</v>
      </c>
      <c r="O24" s="28">
        <v>0</v>
      </c>
      <c r="P24" s="25">
        <v>0</v>
      </c>
      <c r="Q24" s="26">
        <v>0</v>
      </c>
      <c r="R24" s="27">
        <v>0</v>
      </c>
      <c r="S24" s="19">
        <v>0</v>
      </c>
      <c r="T24" s="29">
        <v>3</v>
      </c>
      <c r="U24" s="28">
        <v>0</v>
      </c>
      <c r="V24" s="29">
        <v>1</v>
      </c>
      <c r="W24" s="26">
        <v>0</v>
      </c>
      <c r="X24" s="27">
        <v>2</v>
      </c>
      <c r="Y24" s="28">
        <v>0</v>
      </c>
      <c r="Z24" s="29">
        <v>12</v>
      </c>
    </row>
    <row r="25" spans="1:26" s="5" customFormat="1" ht="16.5" customHeight="1">
      <c r="A25" s="8"/>
      <c r="B25" s="9" t="s">
        <v>5</v>
      </c>
      <c r="C25" s="19">
        <v>0</v>
      </c>
      <c r="D25" s="25">
        <v>39</v>
      </c>
      <c r="E25" s="43">
        <v>0</v>
      </c>
      <c r="F25" s="27">
        <v>7</v>
      </c>
      <c r="G25" s="28">
        <v>0</v>
      </c>
      <c r="H25" s="25">
        <v>0</v>
      </c>
      <c r="I25" s="26">
        <v>0</v>
      </c>
      <c r="J25" s="27">
        <v>0</v>
      </c>
      <c r="K25" s="28">
        <v>0</v>
      </c>
      <c r="L25" s="25">
        <v>9</v>
      </c>
      <c r="M25" s="26">
        <v>0</v>
      </c>
      <c r="N25" s="27">
        <v>5</v>
      </c>
      <c r="O25" s="28">
        <v>0</v>
      </c>
      <c r="P25" s="25">
        <v>1</v>
      </c>
      <c r="Q25" s="26">
        <v>0</v>
      </c>
      <c r="R25" s="27">
        <v>3</v>
      </c>
      <c r="S25" s="19">
        <v>0</v>
      </c>
      <c r="T25" s="29">
        <v>3</v>
      </c>
      <c r="U25" s="28">
        <v>0</v>
      </c>
      <c r="V25" s="29">
        <v>3</v>
      </c>
      <c r="W25" s="26">
        <v>0</v>
      </c>
      <c r="X25" s="27">
        <v>1</v>
      </c>
      <c r="Y25" s="28">
        <v>0</v>
      </c>
      <c r="Z25" s="29">
        <v>7</v>
      </c>
    </row>
    <row r="26" spans="1:26" s="5" customFormat="1" ht="16.5" customHeight="1">
      <c r="A26" s="8"/>
      <c r="B26" s="9" t="s">
        <v>6</v>
      </c>
      <c r="C26" s="19">
        <v>0</v>
      </c>
      <c r="D26" s="25">
        <v>29</v>
      </c>
      <c r="E26" s="43">
        <v>0</v>
      </c>
      <c r="F26" s="27">
        <v>3</v>
      </c>
      <c r="G26" s="28">
        <v>0</v>
      </c>
      <c r="H26" s="25">
        <v>0</v>
      </c>
      <c r="I26" s="26">
        <v>0</v>
      </c>
      <c r="J26" s="27">
        <v>0</v>
      </c>
      <c r="K26" s="28">
        <v>0</v>
      </c>
      <c r="L26" s="25">
        <v>7</v>
      </c>
      <c r="M26" s="26">
        <v>0</v>
      </c>
      <c r="N26" s="27">
        <v>3</v>
      </c>
      <c r="O26" s="28">
        <v>0</v>
      </c>
      <c r="P26" s="25">
        <v>0</v>
      </c>
      <c r="Q26" s="26">
        <v>0</v>
      </c>
      <c r="R26" s="27">
        <v>2</v>
      </c>
      <c r="S26" s="19">
        <v>0</v>
      </c>
      <c r="T26" s="29">
        <v>4</v>
      </c>
      <c r="U26" s="28">
        <v>0</v>
      </c>
      <c r="V26" s="29">
        <v>1</v>
      </c>
      <c r="W26" s="26">
        <v>0</v>
      </c>
      <c r="X26" s="27">
        <v>3</v>
      </c>
      <c r="Y26" s="28">
        <v>0</v>
      </c>
      <c r="Z26" s="29">
        <v>6</v>
      </c>
    </row>
    <row r="27" spans="1:26" s="61" customFormat="1" ht="16.5" customHeight="1">
      <c r="A27" s="52"/>
      <c r="B27" s="53" t="s">
        <v>7</v>
      </c>
      <c r="C27" s="54">
        <v>0</v>
      </c>
      <c r="D27" s="55">
        <v>43</v>
      </c>
      <c r="E27" s="56">
        <v>0</v>
      </c>
      <c r="F27" s="57">
        <v>8</v>
      </c>
      <c r="G27" s="58">
        <v>0</v>
      </c>
      <c r="H27" s="55">
        <v>0</v>
      </c>
      <c r="I27" s="59">
        <v>0</v>
      </c>
      <c r="J27" s="57">
        <v>0</v>
      </c>
      <c r="K27" s="58">
        <v>0</v>
      </c>
      <c r="L27" s="55">
        <v>5</v>
      </c>
      <c r="M27" s="59">
        <v>0</v>
      </c>
      <c r="N27" s="57">
        <v>8</v>
      </c>
      <c r="O27" s="58">
        <v>0</v>
      </c>
      <c r="P27" s="55">
        <v>3</v>
      </c>
      <c r="Q27" s="59">
        <v>0</v>
      </c>
      <c r="R27" s="57">
        <v>1</v>
      </c>
      <c r="S27" s="54">
        <v>0</v>
      </c>
      <c r="T27" s="60">
        <v>5</v>
      </c>
      <c r="U27" s="58">
        <v>0</v>
      </c>
      <c r="V27" s="60">
        <v>0</v>
      </c>
      <c r="W27" s="59">
        <v>0</v>
      </c>
      <c r="X27" s="57">
        <v>3</v>
      </c>
      <c r="Y27" s="58">
        <v>0</v>
      </c>
      <c r="Z27" s="60">
        <v>10</v>
      </c>
    </row>
    <row r="28" spans="1:26" s="61" customFormat="1" ht="16.5" customHeight="1">
      <c r="A28" s="52"/>
      <c r="B28" s="53" t="s">
        <v>8</v>
      </c>
      <c r="C28" s="54">
        <v>1</v>
      </c>
      <c r="D28" s="55">
        <v>37</v>
      </c>
      <c r="E28" s="56">
        <v>0</v>
      </c>
      <c r="F28" s="57">
        <v>8</v>
      </c>
      <c r="G28" s="58">
        <v>0</v>
      </c>
      <c r="H28" s="55">
        <v>0</v>
      </c>
      <c r="I28" s="59">
        <v>0</v>
      </c>
      <c r="J28" s="57">
        <v>0</v>
      </c>
      <c r="K28" s="58">
        <v>0</v>
      </c>
      <c r="L28" s="55">
        <v>5</v>
      </c>
      <c r="M28" s="59">
        <v>0</v>
      </c>
      <c r="N28" s="57">
        <v>4</v>
      </c>
      <c r="O28" s="58">
        <v>0</v>
      </c>
      <c r="P28" s="55">
        <v>0</v>
      </c>
      <c r="Q28" s="59">
        <v>0</v>
      </c>
      <c r="R28" s="57">
        <v>3</v>
      </c>
      <c r="S28" s="54">
        <v>0</v>
      </c>
      <c r="T28" s="60">
        <v>6</v>
      </c>
      <c r="U28" s="58">
        <v>0</v>
      </c>
      <c r="V28" s="60">
        <v>0</v>
      </c>
      <c r="W28" s="59">
        <v>0</v>
      </c>
      <c r="X28" s="57">
        <v>1</v>
      </c>
      <c r="Y28" s="58">
        <v>1</v>
      </c>
      <c r="Z28" s="60">
        <v>10</v>
      </c>
    </row>
    <row r="29" spans="1:26" s="5" customFormat="1" ht="16.5" customHeight="1">
      <c r="A29" s="8"/>
      <c r="B29" s="9" t="s">
        <v>9</v>
      </c>
      <c r="C29" s="19">
        <v>2</v>
      </c>
      <c r="D29" s="25">
        <v>36</v>
      </c>
      <c r="E29" s="43">
        <v>0</v>
      </c>
      <c r="F29" s="27">
        <v>5</v>
      </c>
      <c r="G29" s="28">
        <v>0</v>
      </c>
      <c r="H29" s="25">
        <v>0</v>
      </c>
      <c r="I29" s="26">
        <v>0</v>
      </c>
      <c r="J29" s="27">
        <v>0</v>
      </c>
      <c r="K29" s="28">
        <v>0</v>
      </c>
      <c r="L29" s="25">
        <v>9</v>
      </c>
      <c r="M29" s="26">
        <v>1</v>
      </c>
      <c r="N29" s="27">
        <v>6</v>
      </c>
      <c r="O29" s="28">
        <v>0</v>
      </c>
      <c r="P29" s="25">
        <v>0</v>
      </c>
      <c r="Q29" s="26">
        <v>1</v>
      </c>
      <c r="R29" s="27">
        <v>1</v>
      </c>
      <c r="S29" s="19">
        <v>0</v>
      </c>
      <c r="T29" s="29">
        <v>3</v>
      </c>
      <c r="U29" s="28">
        <v>0</v>
      </c>
      <c r="V29" s="29">
        <v>0</v>
      </c>
      <c r="W29" s="26">
        <v>0</v>
      </c>
      <c r="X29" s="27">
        <v>4</v>
      </c>
      <c r="Y29" s="28">
        <v>0</v>
      </c>
      <c r="Z29" s="29">
        <v>8</v>
      </c>
    </row>
    <row r="30" spans="1:26" s="5" customFormat="1" ht="16.5" customHeight="1">
      <c r="A30" s="8"/>
      <c r="B30" s="9" t="s">
        <v>10</v>
      </c>
      <c r="C30" s="19">
        <v>1</v>
      </c>
      <c r="D30" s="25">
        <v>47</v>
      </c>
      <c r="E30" s="43">
        <v>0</v>
      </c>
      <c r="F30" s="27">
        <v>8</v>
      </c>
      <c r="G30" s="28">
        <v>0</v>
      </c>
      <c r="H30" s="25">
        <v>0</v>
      </c>
      <c r="I30" s="26">
        <v>0</v>
      </c>
      <c r="J30" s="27">
        <v>0</v>
      </c>
      <c r="K30" s="28">
        <v>0</v>
      </c>
      <c r="L30" s="25">
        <v>10</v>
      </c>
      <c r="M30" s="26">
        <v>0</v>
      </c>
      <c r="N30" s="27">
        <v>7</v>
      </c>
      <c r="O30" s="28">
        <v>0</v>
      </c>
      <c r="P30" s="25">
        <v>0</v>
      </c>
      <c r="Q30" s="26">
        <v>1</v>
      </c>
      <c r="R30" s="27">
        <v>3</v>
      </c>
      <c r="S30" s="19">
        <v>0</v>
      </c>
      <c r="T30" s="29">
        <v>5</v>
      </c>
      <c r="U30" s="28">
        <v>0</v>
      </c>
      <c r="V30" s="29">
        <v>0</v>
      </c>
      <c r="W30" s="26">
        <v>0</v>
      </c>
      <c r="X30" s="27">
        <v>4</v>
      </c>
      <c r="Y30" s="28">
        <v>0</v>
      </c>
      <c r="Z30" s="29">
        <v>10</v>
      </c>
    </row>
    <row r="31" spans="1:26" s="5" customFormat="1" ht="16.5" customHeight="1">
      <c r="A31" s="8"/>
      <c r="B31" s="9" t="s">
        <v>11</v>
      </c>
      <c r="C31" s="19">
        <v>0</v>
      </c>
      <c r="D31" s="25">
        <v>50</v>
      </c>
      <c r="E31" s="43">
        <v>0</v>
      </c>
      <c r="F31" s="27">
        <v>10</v>
      </c>
      <c r="G31" s="28">
        <v>0</v>
      </c>
      <c r="H31" s="25">
        <v>0</v>
      </c>
      <c r="I31" s="26">
        <v>0</v>
      </c>
      <c r="J31" s="27">
        <v>0</v>
      </c>
      <c r="K31" s="28">
        <v>0</v>
      </c>
      <c r="L31" s="25">
        <v>5</v>
      </c>
      <c r="M31" s="26">
        <v>0</v>
      </c>
      <c r="N31" s="27">
        <v>12</v>
      </c>
      <c r="O31" s="28">
        <v>0</v>
      </c>
      <c r="P31" s="25">
        <v>0</v>
      </c>
      <c r="Q31" s="26">
        <v>0</v>
      </c>
      <c r="R31" s="27">
        <v>1</v>
      </c>
      <c r="S31" s="19">
        <v>0</v>
      </c>
      <c r="T31" s="29">
        <v>5</v>
      </c>
      <c r="U31" s="28">
        <v>0</v>
      </c>
      <c r="V31" s="29">
        <v>1</v>
      </c>
      <c r="W31" s="26">
        <v>0</v>
      </c>
      <c r="X31" s="27">
        <v>2</v>
      </c>
      <c r="Y31" s="28">
        <v>0</v>
      </c>
      <c r="Z31" s="29">
        <v>14</v>
      </c>
    </row>
    <row r="32" spans="1:26" s="5" customFormat="1" ht="16.5" customHeight="1">
      <c r="A32" s="8"/>
      <c r="B32" s="9" t="s">
        <v>12</v>
      </c>
      <c r="C32" s="19">
        <v>1</v>
      </c>
      <c r="D32" s="25">
        <v>37</v>
      </c>
      <c r="E32" s="43">
        <v>0</v>
      </c>
      <c r="F32" s="27">
        <v>5</v>
      </c>
      <c r="G32" s="28">
        <v>0</v>
      </c>
      <c r="H32" s="25">
        <v>0</v>
      </c>
      <c r="I32" s="26">
        <v>0</v>
      </c>
      <c r="J32" s="27">
        <v>0</v>
      </c>
      <c r="K32" s="28">
        <v>0</v>
      </c>
      <c r="L32" s="25">
        <v>7</v>
      </c>
      <c r="M32" s="26">
        <v>1</v>
      </c>
      <c r="N32" s="27">
        <v>5</v>
      </c>
      <c r="O32" s="28">
        <v>0</v>
      </c>
      <c r="P32" s="25">
        <v>1</v>
      </c>
      <c r="Q32" s="26">
        <v>0</v>
      </c>
      <c r="R32" s="27">
        <v>5</v>
      </c>
      <c r="S32" s="19">
        <v>0</v>
      </c>
      <c r="T32" s="29">
        <v>3</v>
      </c>
      <c r="U32" s="28">
        <v>0</v>
      </c>
      <c r="V32" s="29">
        <v>0</v>
      </c>
      <c r="W32" s="26">
        <v>0</v>
      </c>
      <c r="X32" s="27">
        <v>2</v>
      </c>
      <c r="Y32" s="28">
        <v>0</v>
      </c>
      <c r="Z32" s="29">
        <v>9</v>
      </c>
    </row>
    <row r="33" spans="1:26" s="5" customFormat="1" ht="16.5" customHeight="1" thickBot="1">
      <c r="A33" s="10"/>
      <c r="B33" s="11" t="s">
        <v>13</v>
      </c>
      <c r="C33" s="49">
        <v>1</v>
      </c>
      <c r="D33" s="83">
        <v>46</v>
      </c>
      <c r="E33" s="46">
        <v>0</v>
      </c>
      <c r="F33" s="37">
        <v>5</v>
      </c>
      <c r="G33" s="38">
        <v>0</v>
      </c>
      <c r="H33" s="35">
        <v>0</v>
      </c>
      <c r="I33" s="36">
        <v>0</v>
      </c>
      <c r="J33" s="37">
        <v>0</v>
      </c>
      <c r="K33" s="38">
        <v>0</v>
      </c>
      <c r="L33" s="35">
        <v>6</v>
      </c>
      <c r="M33" s="36">
        <v>0</v>
      </c>
      <c r="N33" s="37">
        <v>10</v>
      </c>
      <c r="O33" s="38">
        <v>0</v>
      </c>
      <c r="P33" s="35">
        <v>1</v>
      </c>
      <c r="Q33" s="36">
        <v>0</v>
      </c>
      <c r="R33" s="37">
        <v>2</v>
      </c>
      <c r="S33" s="21">
        <v>0</v>
      </c>
      <c r="T33" s="39">
        <v>4</v>
      </c>
      <c r="U33" s="38">
        <v>0</v>
      </c>
      <c r="V33" s="39">
        <v>1</v>
      </c>
      <c r="W33" s="36">
        <v>1</v>
      </c>
      <c r="X33" s="37">
        <v>3</v>
      </c>
      <c r="Y33" s="38">
        <v>0</v>
      </c>
      <c r="Z33" s="39">
        <v>14</v>
      </c>
    </row>
    <row r="34" spans="1:26" s="5" customFormat="1" ht="16.5" customHeight="1" thickTop="1">
      <c r="A34" s="15" t="s">
        <v>80</v>
      </c>
      <c r="B34" s="16" t="s">
        <v>2</v>
      </c>
      <c r="C34" s="54">
        <v>0</v>
      </c>
      <c r="D34" s="55">
        <v>42</v>
      </c>
      <c r="E34" s="45">
        <v>0</v>
      </c>
      <c r="F34" s="32">
        <v>10</v>
      </c>
      <c r="G34" s="33">
        <v>0</v>
      </c>
      <c r="H34" s="30">
        <v>0</v>
      </c>
      <c r="I34" s="31">
        <v>0</v>
      </c>
      <c r="J34" s="32">
        <v>0</v>
      </c>
      <c r="K34" s="33">
        <v>0</v>
      </c>
      <c r="L34" s="30">
        <v>5</v>
      </c>
      <c r="M34" s="31">
        <v>0</v>
      </c>
      <c r="N34" s="32">
        <v>6</v>
      </c>
      <c r="O34" s="33">
        <v>0</v>
      </c>
      <c r="P34" s="30">
        <v>0</v>
      </c>
      <c r="Q34" s="31">
        <v>0</v>
      </c>
      <c r="R34" s="32">
        <v>3</v>
      </c>
      <c r="S34" s="20">
        <v>0</v>
      </c>
      <c r="T34" s="34">
        <v>5</v>
      </c>
      <c r="U34" s="33">
        <v>0</v>
      </c>
      <c r="V34" s="34">
        <v>3</v>
      </c>
      <c r="W34" s="31">
        <v>0</v>
      </c>
      <c r="X34" s="32">
        <v>0</v>
      </c>
      <c r="Y34" s="33">
        <v>0</v>
      </c>
      <c r="Z34" s="34">
        <v>10</v>
      </c>
    </row>
    <row r="35" spans="1:26" s="5" customFormat="1" ht="16.5" customHeight="1">
      <c r="A35" s="8"/>
      <c r="B35" s="9" t="s">
        <v>3</v>
      </c>
      <c r="C35" s="54">
        <v>0</v>
      </c>
      <c r="D35" s="55">
        <v>71</v>
      </c>
      <c r="E35" s="43">
        <v>0</v>
      </c>
      <c r="F35" s="27">
        <v>15</v>
      </c>
      <c r="G35" s="28">
        <v>0</v>
      </c>
      <c r="H35" s="25">
        <v>0</v>
      </c>
      <c r="I35" s="26">
        <v>0</v>
      </c>
      <c r="J35" s="27">
        <v>0</v>
      </c>
      <c r="K35" s="28">
        <v>0</v>
      </c>
      <c r="L35" s="25">
        <v>3</v>
      </c>
      <c r="M35" s="26">
        <v>0</v>
      </c>
      <c r="N35" s="27">
        <v>18</v>
      </c>
      <c r="O35" s="28">
        <v>0</v>
      </c>
      <c r="P35" s="25">
        <v>0</v>
      </c>
      <c r="Q35" s="26">
        <v>0</v>
      </c>
      <c r="R35" s="27">
        <v>1</v>
      </c>
      <c r="S35" s="19">
        <v>0</v>
      </c>
      <c r="T35" s="29">
        <v>14</v>
      </c>
      <c r="U35" s="28">
        <v>0</v>
      </c>
      <c r="V35" s="29">
        <v>2</v>
      </c>
      <c r="W35" s="26">
        <v>0</v>
      </c>
      <c r="X35" s="27">
        <v>1</v>
      </c>
      <c r="Y35" s="28">
        <v>0</v>
      </c>
      <c r="Z35" s="29">
        <v>17</v>
      </c>
    </row>
    <row r="36" spans="1:26" s="5" customFormat="1" ht="16.5" customHeight="1">
      <c r="A36" s="8"/>
      <c r="B36" s="9" t="s">
        <v>4</v>
      </c>
      <c r="C36" s="54">
        <v>1</v>
      </c>
      <c r="D36" s="55">
        <v>37</v>
      </c>
      <c r="E36" s="43">
        <v>0</v>
      </c>
      <c r="F36" s="27">
        <v>3</v>
      </c>
      <c r="G36" s="28">
        <v>0</v>
      </c>
      <c r="H36" s="25">
        <v>1</v>
      </c>
      <c r="I36" s="26">
        <v>0</v>
      </c>
      <c r="J36" s="27">
        <v>0</v>
      </c>
      <c r="K36" s="28">
        <v>0</v>
      </c>
      <c r="L36" s="25">
        <v>2</v>
      </c>
      <c r="M36" s="26">
        <v>1</v>
      </c>
      <c r="N36" s="27">
        <v>9</v>
      </c>
      <c r="O36" s="28">
        <v>0</v>
      </c>
      <c r="P36" s="25">
        <v>0</v>
      </c>
      <c r="Q36" s="26">
        <v>0</v>
      </c>
      <c r="R36" s="27">
        <v>1</v>
      </c>
      <c r="S36" s="19">
        <v>0</v>
      </c>
      <c r="T36" s="29">
        <v>9</v>
      </c>
      <c r="U36" s="28">
        <v>0</v>
      </c>
      <c r="V36" s="29">
        <v>0</v>
      </c>
      <c r="W36" s="26">
        <v>0</v>
      </c>
      <c r="X36" s="27">
        <v>2</v>
      </c>
      <c r="Y36" s="28">
        <v>0</v>
      </c>
      <c r="Z36" s="29">
        <v>10</v>
      </c>
    </row>
    <row r="37" spans="1:26" s="5" customFormat="1" ht="16.5" customHeight="1">
      <c r="A37" s="8"/>
      <c r="B37" s="9" t="s">
        <v>5</v>
      </c>
      <c r="C37" s="54">
        <v>0</v>
      </c>
      <c r="D37" s="55">
        <v>26</v>
      </c>
      <c r="E37" s="43">
        <v>0</v>
      </c>
      <c r="F37" s="27">
        <v>11</v>
      </c>
      <c r="G37" s="28">
        <v>0</v>
      </c>
      <c r="H37" s="25">
        <v>0</v>
      </c>
      <c r="I37" s="26">
        <v>0</v>
      </c>
      <c r="J37" s="27">
        <v>0</v>
      </c>
      <c r="K37" s="28">
        <v>0</v>
      </c>
      <c r="L37" s="25">
        <v>0</v>
      </c>
      <c r="M37" s="26">
        <v>0</v>
      </c>
      <c r="N37" s="27">
        <v>3</v>
      </c>
      <c r="O37" s="28">
        <v>0</v>
      </c>
      <c r="P37" s="25">
        <v>0</v>
      </c>
      <c r="Q37" s="26">
        <v>0</v>
      </c>
      <c r="R37" s="27">
        <v>2</v>
      </c>
      <c r="S37" s="19">
        <v>0</v>
      </c>
      <c r="T37" s="29">
        <v>2</v>
      </c>
      <c r="U37" s="28">
        <v>0</v>
      </c>
      <c r="V37" s="29">
        <v>2</v>
      </c>
      <c r="W37" s="26">
        <v>0</v>
      </c>
      <c r="X37" s="27">
        <v>2</v>
      </c>
      <c r="Y37" s="28">
        <v>0</v>
      </c>
      <c r="Z37" s="29">
        <v>4</v>
      </c>
    </row>
    <row r="38" spans="1:26" s="5" customFormat="1" ht="16.5" customHeight="1">
      <c r="A38" s="8"/>
      <c r="B38" s="9" t="s">
        <v>6</v>
      </c>
      <c r="C38" s="54">
        <v>0</v>
      </c>
      <c r="D38" s="55">
        <v>26</v>
      </c>
      <c r="E38" s="43">
        <v>0</v>
      </c>
      <c r="F38" s="27">
        <v>4</v>
      </c>
      <c r="G38" s="28">
        <v>0</v>
      </c>
      <c r="H38" s="25">
        <v>0</v>
      </c>
      <c r="I38" s="26">
        <v>0</v>
      </c>
      <c r="J38" s="27">
        <v>1</v>
      </c>
      <c r="K38" s="28">
        <v>0</v>
      </c>
      <c r="L38" s="25">
        <v>3</v>
      </c>
      <c r="M38" s="26">
        <v>0</v>
      </c>
      <c r="N38" s="27">
        <v>6</v>
      </c>
      <c r="O38" s="28">
        <v>0</v>
      </c>
      <c r="P38" s="25">
        <v>0</v>
      </c>
      <c r="Q38" s="26">
        <v>0</v>
      </c>
      <c r="R38" s="27">
        <v>0</v>
      </c>
      <c r="S38" s="19">
        <v>0</v>
      </c>
      <c r="T38" s="29">
        <v>4</v>
      </c>
      <c r="U38" s="28">
        <v>0</v>
      </c>
      <c r="V38" s="29">
        <v>1</v>
      </c>
      <c r="W38" s="26">
        <v>0</v>
      </c>
      <c r="X38" s="27">
        <v>0</v>
      </c>
      <c r="Y38" s="28">
        <v>0</v>
      </c>
      <c r="Z38" s="29">
        <v>7</v>
      </c>
    </row>
    <row r="39" spans="1:26" s="61" customFormat="1" ht="16.5" customHeight="1">
      <c r="A39" s="52"/>
      <c r="B39" s="53" t="s">
        <v>7</v>
      </c>
      <c r="C39" s="54">
        <v>0</v>
      </c>
      <c r="D39" s="55">
        <v>35</v>
      </c>
      <c r="E39" s="43">
        <v>0</v>
      </c>
      <c r="F39" s="57">
        <v>12</v>
      </c>
      <c r="G39" s="28">
        <v>0</v>
      </c>
      <c r="H39" s="25">
        <v>0</v>
      </c>
      <c r="I39" s="26">
        <v>0</v>
      </c>
      <c r="J39" s="27">
        <v>0</v>
      </c>
      <c r="K39" s="28">
        <v>0</v>
      </c>
      <c r="L39" s="55">
        <v>5</v>
      </c>
      <c r="M39" s="26">
        <v>0</v>
      </c>
      <c r="N39" s="57">
        <v>3</v>
      </c>
      <c r="O39" s="28">
        <v>0</v>
      </c>
      <c r="P39" s="55">
        <v>1</v>
      </c>
      <c r="Q39" s="26">
        <v>0</v>
      </c>
      <c r="R39" s="27">
        <v>2</v>
      </c>
      <c r="S39" s="19">
        <v>0</v>
      </c>
      <c r="T39" s="60">
        <v>7</v>
      </c>
      <c r="U39" s="58">
        <v>0</v>
      </c>
      <c r="V39" s="60">
        <v>0</v>
      </c>
      <c r="W39" s="26">
        <v>0</v>
      </c>
      <c r="X39" s="27">
        <v>3</v>
      </c>
      <c r="Y39" s="28">
        <v>0</v>
      </c>
      <c r="Z39" s="60">
        <v>2</v>
      </c>
    </row>
    <row r="40" spans="1:26" s="61" customFormat="1" ht="16.5" customHeight="1">
      <c r="A40" s="52"/>
      <c r="B40" s="53" t="s">
        <v>8</v>
      </c>
      <c r="C40" s="54">
        <v>0</v>
      </c>
      <c r="D40" s="55">
        <v>31</v>
      </c>
      <c r="E40" s="56">
        <v>0</v>
      </c>
      <c r="F40" s="57">
        <v>4</v>
      </c>
      <c r="G40" s="58">
        <v>0</v>
      </c>
      <c r="H40" s="55">
        <v>0</v>
      </c>
      <c r="I40" s="59">
        <v>0</v>
      </c>
      <c r="J40" s="57">
        <v>0</v>
      </c>
      <c r="K40" s="58">
        <v>0</v>
      </c>
      <c r="L40" s="55">
        <v>5</v>
      </c>
      <c r="M40" s="59">
        <v>0</v>
      </c>
      <c r="N40" s="57">
        <v>4</v>
      </c>
      <c r="O40" s="58">
        <v>0</v>
      </c>
      <c r="P40" s="55">
        <v>1</v>
      </c>
      <c r="Q40" s="59">
        <v>0</v>
      </c>
      <c r="R40" s="57">
        <v>1</v>
      </c>
      <c r="S40" s="54">
        <v>0</v>
      </c>
      <c r="T40" s="60">
        <v>1</v>
      </c>
      <c r="U40" s="58">
        <v>0</v>
      </c>
      <c r="V40" s="60">
        <v>3</v>
      </c>
      <c r="W40" s="59">
        <v>0</v>
      </c>
      <c r="X40" s="57">
        <v>1</v>
      </c>
      <c r="Y40" s="58">
        <v>0</v>
      </c>
      <c r="Z40" s="60">
        <v>11</v>
      </c>
    </row>
    <row r="41" spans="1:26" s="5" customFormat="1" ht="16.5" customHeight="1">
      <c r="A41" s="8"/>
      <c r="B41" s="9" t="s">
        <v>9</v>
      </c>
      <c r="C41" s="19">
        <v>0</v>
      </c>
      <c r="D41" s="25">
        <v>43</v>
      </c>
      <c r="E41" s="43">
        <v>0</v>
      </c>
      <c r="F41" s="27">
        <v>6</v>
      </c>
      <c r="G41" s="28">
        <v>0</v>
      </c>
      <c r="H41" s="25">
        <v>0</v>
      </c>
      <c r="I41" s="26">
        <v>0</v>
      </c>
      <c r="J41" s="27">
        <v>0</v>
      </c>
      <c r="K41" s="28">
        <v>0</v>
      </c>
      <c r="L41" s="25">
        <v>4</v>
      </c>
      <c r="M41" s="26">
        <v>0</v>
      </c>
      <c r="N41" s="27">
        <v>10</v>
      </c>
      <c r="O41" s="28">
        <v>0</v>
      </c>
      <c r="P41" s="25">
        <v>1</v>
      </c>
      <c r="Q41" s="26">
        <v>0</v>
      </c>
      <c r="R41" s="27">
        <v>4</v>
      </c>
      <c r="S41" s="19">
        <v>0</v>
      </c>
      <c r="T41" s="29">
        <v>8</v>
      </c>
      <c r="U41" s="28">
        <v>0</v>
      </c>
      <c r="V41" s="29">
        <v>2</v>
      </c>
      <c r="W41" s="26">
        <v>0</v>
      </c>
      <c r="X41" s="27">
        <v>2</v>
      </c>
      <c r="Y41" s="28">
        <v>0</v>
      </c>
      <c r="Z41" s="29">
        <v>6</v>
      </c>
    </row>
    <row r="42" spans="1:26" s="5" customFormat="1" ht="16.5" customHeight="1">
      <c r="A42" s="8"/>
      <c r="B42" s="9" t="s">
        <v>10</v>
      </c>
      <c r="C42" s="19">
        <v>0</v>
      </c>
      <c r="D42" s="25">
        <v>46</v>
      </c>
      <c r="E42" s="43">
        <v>0</v>
      </c>
      <c r="F42" s="27">
        <v>7</v>
      </c>
      <c r="G42" s="28">
        <v>0</v>
      </c>
      <c r="H42" s="25">
        <v>0</v>
      </c>
      <c r="I42" s="26">
        <v>0</v>
      </c>
      <c r="J42" s="27">
        <v>1</v>
      </c>
      <c r="K42" s="28">
        <v>0</v>
      </c>
      <c r="L42" s="25">
        <v>8</v>
      </c>
      <c r="M42" s="26">
        <v>0</v>
      </c>
      <c r="N42" s="27">
        <v>5</v>
      </c>
      <c r="O42" s="28">
        <v>0</v>
      </c>
      <c r="P42" s="25">
        <v>1</v>
      </c>
      <c r="Q42" s="26">
        <v>0</v>
      </c>
      <c r="R42" s="27">
        <v>3</v>
      </c>
      <c r="S42" s="19">
        <v>0</v>
      </c>
      <c r="T42" s="29">
        <v>8</v>
      </c>
      <c r="U42" s="28">
        <v>0</v>
      </c>
      <c r="V42" s="29">
        <v>3</v>
      </c>
      <c r="W42" s="26">
        <v>0</v>
      </c>
      <c r="X42" s="27">
        <v>2</v>
      </c>
      <c r="Y42" s="28">
        <v>0</v>
      </c>
      <c r="Z42" s="29">
        <v>8</v>
      </c>
    </row>
    <row r="43" spans="1:26" s="5" customFormat="1" ht="16.5" customHeight="1">
      <c r="A43" s="8"/>
      <c r="B43" s="9" t="s">
        <v>11</v>
      </c>
      <c r="C43" s="19">
        <v>0</v>
      </c>
      <c r="D43" s="25">
        <v>33</v>
      </c>
      <c r="E43" s="43">
        <v>0</v>
      </c>
      <c r="F43" s="27">
        <v>5</v>
      </c>
      <c r="G43" s="28">
        <v>0</v>
      </c>
      <c r="H43" s="25">
        <v>0</v>
      </c>
      <c r="I43" s="26">
        <v>0</v>
      </c>
      <c r="J43" s="27">
        <v>1</v>
      </c>
      <c r="K43" s="28">
        <v>0</v>
      </c>
      <c r="L43" s="25">
        <v>11</v>
      </c>
      <c r="M43" s="26">
        <v>0</v>
      </c>
      <c r="N43" s="27">
        <v>2</v>
      </c>
      <c r="O43" s="28">
        <v>0</v>
      </c>
      <c r="P43" s="25">
        <v>0</v>
      </c>
      <c r="Q43" s="26">
        <v>0</v>
      </c>
      <c r="R43" s="27">
        <v>2</v>
      </c>
      <c r="S43" s="19">
        <v>0</v>
      </c>
      <c r="T43" s="29">
        <v>5</v>
      </c>
      <c r="U43" s="28">
        <v>0</v>
      </c>
      <c r="V43" s="29">
        <v>2</v>
      </c>
      <c r="W43" s="26">
        <v>0</v>
      </c>
      <c r="X43" s="27">
        <v>1</v>
      </c>
      <c r="Y43" s="28">
        <v>0</v>
      </c>
      <c r="Z43" s="29">
        <v>4</v>
      </c>
    </row>
    <row r="44" spans="1:26" s="5" customFormat="1" ht="16.5" customHeight="1">
      <c r="A44" s="8"/>
      <c r="B44" s="9" t="s">
        <v>12</v>
      </c>
      <c r="C44" s="19">
        <v>0</v>
      </c>
      <c r="D44" s="25">
        <v>32</v>
      </c>
      <c r="E44" s="43">
        <v>0</v>
      </c>
      <c r="F44" s="27">
        <v>1</v>
      </c>
      <c r="G44" s="28">
        <v>0</v>
      </c>
      <c r="H44" s="25">
        <v>0</v>
      </c>
      <c r="I44" s="26">
        <v>0</v>
      </c>
      <c r="J44" s="27">
        <v>0</v>
      </c>
      <c r="K44" s="28">
        <v>0</v>
      </c>
      <c r="L44" s="25">
        <v>7</v>
      </c>
      <c r="M44" s="26">
        <v>0</v>
      </c>
      <c r="N44" s="27">
        <v>5</v>
      </c>
      <c r="O44" s="28">
        <v>0</v>
      </c>
      <c r="P44" s="25">
        <v>0</v>
      </c>
      <c r="Q44" s="26">
        <v>0</v>
      </c>
      <c r="R44" s="27">
        <v>3</v>
      </c>
      <c r="S44" s="19">
        <v>0</v>
      </c>
      <c r="T44" s="29">
        <v>6</v>
      </c>
      <c r="U44" s="28">
        <v>0</v>
      </c>
      <c r="V44" s="29">
        <v>0</v>
      </c>
      <c r="W44" s="26">
        <v>0</v>
      </c>
      <c r="X44" s="27">
        <v>1</v>
      </c>
      <c r="Y44" s="28">
        <v>0</v>
      </c>
      <c r="Z44" s="29">
        <v>9</v>
      </c>
    </row>
    <row r="45" spans="1:26" s="5" customFormat="1" ht="16.5" customHeight="1">
      <c r="A45" s="10"/>
      <c r="B45" s="11" t="s">
        <v>13</v>
      </c>
      <c r="C45" s="21">
        <v>0</v>
      </c>
      <c r="D45" s="35">
        <v>32</v>
      </c>
      <c r="E45" s="46">
        <v>0</v>
      </c>
      <c r="F45" s="37">
        <v>5</v>
      </c>
      <c r="G45" s="38">
        <v>0</v>
      </c>
      <c r="H45" s="35">
        <v>0</v>
      </c>
      <c r="I45" s="36">
        <v>0</v>
      </c>
      <c r="J45" s="37">
        <v>1</v>
      </c>
      <c r="K45" s="38">
        <v>0</v>
      </c>
      <c r="L45" s="35">
        <v>4</v>
      </c>
      <c r="M45" s="36">
        <v>0</v>
      </c>
      <c r="N45" s="37">
        <v>5</v>
      </c>
      <c r="O45" s="38">
        <v>0</v>
      </c>
      <c r="P45" s="35">
        <v>0</v>
      </c>
      <c r="Q45" s="36">
        <v>0</v>
      </c>
      <c r="R45" s="37">
        <v>1</v>
      </c>
      <c r="S45" s="21">
        <v>0</v>
      </c>
      <c r="T45" s="39">
        <v>4</v>
      </c>
      <c r="U45" s="38">
        <v>0</v>
      </c>
      <c r="V45" s="39">
        <v>4</v>
      </c>
      <c r="W45" s="36">
        <v>0</v>
      </c>
      <c r="X45" s="37">
        <v>1</v>
      </c>
      <c r="Y45" s="38">
        <v>0</v>
      </c>
      <c r="Z45" s="39">
        <v>7</v>
      </c>
    </row>
    <row r="46" spans="1:26" s="5" customFormat="1" ht="16.5" customHeight="1" thickBot="1">
      <c r="A46" s="64" t="s">
        <v>37</v>
      </c>
      <c r="B46" s="6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s="5" customFormat="1" ht="16.5" customHeight="1">
      <c r="A47" s="95" t="str">
        <f>"2021（令和3）年"&amp;COUNTA(E34:E45)&amp;"月迄"</f>
        <v>2021（令和3）年12月迄</v>
      </c>
      <c r="B47" s="96"/>
      <c r="C47" s="76">
        <f>SUM(C34:C45)</f>
        <v>1</v>
      </c>
      <c r="D47" s="77">
        <f>SUM(D34:D45)</f>
        <v>454</v>
      </c>
      <c r="E47" s="77">
        <f>SUM(E34:E45)</f>
        <v>0</v>
      </c>
      <c r="F47" s="77">
        <f aca="true" t="shared" si="0" ref="F47:Z47">SUM(F34:F45)</f>
        <v>83</v>
      </c>
      <c r="G47" s="77">
        <f>SUM(G34:G45)</f>
        <v>0</v>
      </c>
      <c r="H47" s="77">
        <f t="shared" si="0"/>
        <v>1</v>
      </c>
      <c r="I47" s="77">
        <f t="shared" si="0"/>
        <v>0</v>
      </c>
      <c r="J47" s="78">
        <f>SUM(J34:J45)</f>
        <v>4</v>
      </c>
      <c r="K47" s="77">
        <f t="shared" si="0"/>
        <v>0</v>
      </c>
      <c r="L47" s="77">
        <f t="shared" si="0"/>
        <v>57</v>
      </c>
      <c r="M47" s="77">
        <f t="shared" si="0"/>
        <v>1</v>
      </c>
      <c r="N47" s="77">
        <f t="shared" si="0"/>
        <v>76</v>
      </c>
      <c r="O47" s="77">
        <f t="shared" si="0"/>
        <v>0</v>
      </c>
      <c r="P47" s="77">
        <f t="shared" si="0"/>
        <v>4</v>
      </c>
      <c r="Q47" s="77">
        <f t="shared" si="0"/>
        <v>0</v>
      </c>
      <c r="R47" s="77">
        <f t="shared" si="0"/>
        <v>23</v>
      </c>
      <c r="S47" s="76">
        <f t="shared" si="0"/>
        <v>0</v>
      </c>
      <c r="T47" s="77">
        <f t="shared" si="0"/>
        <v>73</v>
      </c>
      <c r="U47" s="77">
        <f t="shared" si="0"/>
        <v>0</v>
      </c>
      <c r="V47" s="77">
        <f t="shared" si="0"/>
        <v>22</v>
      </c>
      <c r="W47" s="77">
        <f t="shared" si="0"/>
        <v>0</v>
      </c>
      <c r="X47" s="77">
        <f t="shared" si="0"/>
        <v>16</v>
      </c>
      <c r="Y47" s="77">
        <f t="shared" si="0"/>
        <v>0</v>
      </c>
      <c r="Z47" s="79">
        <f t="shared" si="0"/>
        <v>95</v>
      </c>
    </row>
    <row r="48" spans="1:26" s="5" customFormat="1" ht="16.5" customHeight="1">
      <c r="A48" s="97" t="str">
        <f>"前年"&amp;COUNTA(E34:E45)&amp;"月迄"</f>
        <v>前年12月迄</v>
      </c>
      <c r="B48" s="98"/>
      <c r="C48" s="80">
        <f ca="1">SUM(C22:(INDIRECT("c"&amp;COUNT($E34:$E45)+21)))</f>
        <v>6</v>
      </c>
      <c r="D48" s="80">
        <f ca="1">SUM(D22:(INDIRECT("d"&amp;COUNT($E34:$E45)+21)))</f>
        <v>469</v>
      </c>
      <c r="E48" s="80">
        <f ca="1">SUM(E22:(INDIRECT("e"&amp;COUNT($E34:$E45)+21)))</f>
        <v>0</v>
      </c>
      <c r="F48" s="80">
        <f ca="1">SUM(F22:(INDIRECT("f"&amp;COUNT($E34:$E45)+21)))</f>
        <v>73</v>
      </c>
      <c r="G48" s="80">
        <f ca="1">SUM(G22:(INDIRECT("g"&amp;COUNT($E34:$E45)+21)))</f>
        <v>0</v>
      </c>
      <c r="H48" s="80">
        <f ca="1">SUM(H22:(INDIRECT("h"&amp;COUNT($E34:$E45)+21)))</f>
        <v>0</v>
      </c>
      <c r="I48" s="80">
        <f ca="1">SUM(I22:(INDIRECT("i"&amp;COUNT($E34:$E45)+21)))</f>
        <v>0</v>
      </c>
      <c r="J48" s="80">
        <f ca="1">SUM(J22:(INDIRECT("j"&amp;COUNT($E34:$E45)+21)))</f>
        <v>1</v>
      </c>
      <c r="K48" s="80">
        <f ca="1">SUM(K22:(INDIRECT("k"&amp;COUNT($E34:$E45)+21)))</f>
        <v>0</v>
      </c>
      <c r="L48" s="80">
        <f ca="1">SUM(L22:(INDIRECT("l"&amp;COUNT($E34:$E45)+21)))</f>
        <v>75</v>
      </c>
      <c r="M48" s="80">
        <f ca="1">SUM(M22:(INDIRECT("m"&amp;COUNT($E34:$E45)+21)))</f>
        <v>2</v>
      </c>
      <c r="N48" s="80">
        <f ca="1">SUM(N22:(INDIRECT("n"&amp;COUNT($E34:$E45)+21)))</f>
        <v>79</v>
      </c>
      <c r="O48" s="80">
        <f ca="1">SUM(O22:(INDIRECT("o"&amp;COUNT($E34:$E45)+21)))</f>
        <v>0</v>
      </c>
      <c r="P48" s="80">
        <f ca="1">SUM(P22:(INDIRECT("p"&amp;COUNT($E34:$E45)+21)))</f>
        <v>7</v>
      </c>
      <c r="Q48" s="80">
        <f ca="1">SUM(Q22:(INDIRECT("q"&amp;COUNT($E34:$E45)+21)))</f>
        <v>2</v>
      </c>
      <c r="R48" s="80">
        <f ca="1">SUM(R22:(INDIRECT("r"&amp;COUNT($E34:$E45)+21)))</f>
        <v>27</v>
      </c>
      <c r="S48" s="80">
        <f ca="1">SUM(S22:(INDIRECT("s"&amp;COUNT($E34:$E45)+21)))</f>
        <v>0</v>
      </c>
      <c r="T48" s="80">
        <f ca="1">SUM(T22:(INDIRECT("t"&amp;COUNT($E34:$E45)+21)))</f>
        <v>53</v>
      </c>
      <c r="U48" s="80">
        <f ca="1">SUM(U22:(INDIRECT("u"&amp;COUNT($E34:$E45)+21)))</f>
        <v>0</v>
      </c>
      <c r="V48" s="80">
        <f ca="1">SUM(V22:(INDIRECT("v"&amp;COUNT($E34:$E45)+21)))</f>
        <v>10</v>
      </c>
      <c r="W48" s="80">
        <f ca="1">SUM(W22:(INDIRECT("w"&amp;COUNT($E34:$E45)+21)))</f>
        <v>1</v>
      </c>
      <c r="X48" s="80">
        <f ca="1">SUM(X22:(INDIRECT("x"&amp;COUNT($E34:$E45)+21)))</f>
        <v>28</v>
      </c>
      <c r="Y48" s="80">
        <f ca="1">SUM(Y22:(INDIRECT("y"&amp;COUNT($E34:$E45)+21)))</f>
        <v>1</v>
      </c>
      <c r="Z48" s="81">
        <f ca="1">SUM(Z22:(INDIRECT("z"&amp;COUNT($E34:$E45)+21)))</f>
        <v>116</v>
      </c>
    </row>
    <row r="49" spans="1:26" s="5" customFormat="1" ht="16.5" customHeight="1" thickBot="1">
      <c r="A49" s="99" t="s">
        <v>36</v>
      </c>
      <c r="B49" s="100"/>
      <c r="C49" s="82">
        <f>C47-C48</f>
        <v>-5</v>
      </c>
      <c r="D49" s="62">
        <f aca="true" t="shared" si="1" ref="D49:Z49">D47-D48</f>
        <v>-15</v>
      </c>
      <c r="E49" s="62">
        <f t="shared" si="1"/>
        <v>0</v>
      </c>
      <c r="F49" s="62">
        <f t="shared" si="1"/>
        <v>10</v>
      </c>
      <c r="G49" s="62">
        <f t="shared" si="1"/>
        <v>0</v>
      </c>
      <c r="H49" s="62">
        <f t="shared" si="1"/>
        <v>1</v>
      </c>
      <c r="I49" s="62">
        <f t="shared" si="1"/>
        <v>0</v>
      </c>
      <c r="J49" s="66">
        <f t="shared" si="1"/>
        <v>3</v>
      </c>
      <c r="K49" s="62">
        <f t="shared" si="1"/>
        <v>0</v>
      </c>
      <c r="L49" s="62">
        <f t="shared" si="1"/>
        <v>-18</v>
      </c>
      <c r="M49" s="62">
        <f t="shared" si="1"/>
        <v>-1</v>
      </c>
      <c r="N49" s="62">
        <f t="shared" si="1"/>
        <v>-3</v>
      </c>
      <c r="O49" s="62">
        <f t="shared" si="1"/>
        <v>0</v>
      </c>
      <c r="P49" s="62">
        <f t="shared" si="1"/>
        <v>-3</v>
      </c>
      <c r="Q49" s="62">
        <f t="shared" si="1"/>
        <v>-2</v>
      </c>
      <c r="R49" s="62">
        <f t="shared" si="1"/>
        <v>-4</v>
      </c>
      <c r="S49" s="82">
        <f t="shared" si="1"/>
        <v>0</v>
      </c>
      <c r="T49" s="62">
        <f t="shared" si="1"/>
        <v>20</v>
      </c>
      <c r="U49" s="62">
        <f t="shared" si="1"/>
        <v>0</v>
      </c>
      <c r="V49" s="62">
        <f t="shared" si="1"/>
        <v>12</v>
      </c>
      <c r="W49" s="62">
        <f t="shared" si="1"/>
        <v>-1</v>
      </c>
      <c r="X49" s="62">
        <f t="shared" si="1"/>
        <v>-12</v>
      </c>
      <c r="Y49" s="62">
        <f t="shared" si="1"/>
        <v>-1</v>
      </c>
      <c r="Z49" s="63">
        <f t="shared" si="1"/>
        <v>-21</v>
      </c>
    </row>
    <row r="50" s="5" customFormat="1" ht="16.5" customHeight="1">
      <c r="A50" s="5" t="s">
        <v>28</v>
      </c>
    </row>
    <row r="51" s="2" customFormat="1" ht="16.5" customHeight="1">
      <c r="A51" s="5" t="s">
        <v>38</v>
      </c>
    </row>
    <row r="52" s="5" customFormat="1" ht="16.5" customHeight="1">
      <c r="A52" s="5" t="s">
        <v>30</v>
      </c>
    </row>
    <row r="53" s="5" customFormat="1" ht="16.5" customHeight="1">
      <c r="B53" s="5" t="s">
        <v>31</v>
      </c>
    </row>
    <row r="54" s="5" customFormat="1" ht="16.5" customHeight="1">
      <c r="B54" s="5" t="s">
        <v>32</v>
      </c>
    </row>
    <row r="55" s="5" customFormat="1" ht="16.5" customHeight="1">
      <c r="B55" s="5" t="s">
        <v>33</v>
      </c>
    </row>
    <row r="56" s="5" customFormat="1" ht="16.5" customHeight="1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</sheetData>
  <sheetProtection/>
  <mergeCells count="16">
    <mergeCell ref="Y4:Z4"/>
    <mergeCell ref="A47:B47"/>
    <mergeCell ref="A48:B48"/>
    <mergeCell ref="A49:B49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conditionalFormatting sqref="C47:Z49">
    <cfRule type="cellIs" priority="1" dxfId="18" operator="lessThan" stopIfTrue="1">
      <formula>0</formula>
    </cfRule>
    <cfRule type="cellIs" priority="2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73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>
      <c r="A13" s="8" t="s">
        <v>47</v>
      </c>
      <c r="B13" s="14" t="s">
        <v>1</v>
      </c>
      <c r="C13" s="19">
        <v>6</v>
      </c>
      <c r="D13" s="25">
        <v>470</v>
      </c>
      <c r="E13" s="43">
        <v>0</v>
      </c>
      <c r="F13" s="29">
        <v>117</v>
      </c>
      <c r="G13" s="19">
        <v>0</v>
      </c>
      <c r="H13" s="25">
        <v>0</v>
      </c>
      <c r="I13" s="19">
        <v>0</v>
      </c>
      <c r="J13" s="25">
        <v>1</v>
      </c>
      <c r="K13" s="19">
        <v>2</v>
      </c>
      <c r="L13" s="25">
        <v>65</v>
      </c>
      <c r="M13" s="19">
        <v>1</v>
      </c>
      <c r="N13" s="25">
        <v>52</v>
      </c>
      <c r="O13" s="19">
        <v>1</v>
      </c>
      <c r="P13" s="25">
        <v>12</v>
      </c>
      <c r="Q13" s="19">
        <v>1</v>
      </c>
      <c r="R13" s="25">
        <v>73</v>
      </c>
      <c r="S13" s="19">
        <v>1</v>
      </c>
      <c r="T13" s="25">
        <v>33</v>
      </c>
      <c r="U13" s="19">
        <v>0</v>
      </c>
      <c r="V13" s="29">
        <v>11</v>
      </c>
      <c r="W13" s="19">
        <v>0</v>
      </c>
      <c r="X13" s="25">
        <v>15</v>
      </c>
      <c r="Y13" s="19">
        <v>0</v>
      </c>
      <c r="Z13" s="29">
        <v>91</v>
      </c>
    </row>
    <row r="14" spans="1:26" s="14" customFormat="1" ht="18.75" customHeight="1">
      <c r="A14" s="8" t="s">
        <v>48</v>
      </c>
      <c r="B14" s="14" t="s">
        <v>1</v>
      </c>
      <c r="C14" s="19">
        <v>7</v>
      </c>
      <c r="D14" s="25">
        <v>502</v>
      </c>
      <c r="E14" s="43">
        <v>2</v>
      </c>
      <c r="F14" s="29">
        <v>119</v>
      </c>
      <c r="G14" s="19">
        <v>0</v>
      </c>
      <c r="H14" s="25">
        <v>0</v>
      </c>
      <c r="I14" s="19">
        <v>0</v>
      </c>
      <c r="J14" s="25">
        <v>2</v>
      </c>
      <c r="K14" s="19">
        <v>1</v>
      </c>
      <c r="L14" s="25">
        <v>87</v>
      </c>
      <c r="M14" s="19">
        <v>1</v>
      </c>
      <c r="N14" s="25">
        <v>54</v>
      </c>
      <c r="O14" s="19">
        <v>0</v>
      </c>
      <c r="P14" s="25">
        <v>8</v>
      </c>
      <c r="Q14" s="19">
        <v>2</v>
      </c>
      <c r="R14" s="25">
        <v>70</v>
      </c>
      <c r="S14" s="19">
        <v>0</v>
      </c>
      <c r="T14" s="25">
        <v>43</v>
      </c>
      <c r="U14" s="19">
        <v>0</v>
      </c>
      <c r="V14" s="29">
        <v>10</v>
      </c>
      <c r="W14" s="19">
        <v>0</v>
      </c>
      <c r="X14" s="25">
        <v>17</v>
      </c>
      <c r="Y14" s="19">
        <v>1</v>
      </c>
      <c r="Z14" s="29">
        <v>92</v>
      </c>
    </row>
    <row r="15" spans="1:26" s="14" customFormat="1" ht="18.75" customHeight="1">
      <c r="A15" s="8" t="s">
        <v>49</v>
      </c>
      <c r="B15" s="14" t="s">
        <v>1</v>
      </c>
      <c r="C15" s="19">
        <v>7</v>
      </c>
      <c r="D15" s="25">
        <v>549</v>
      </c>
      <c r="E15" s="43">
        <v>1</v>
      </c>
      <c r="F15" s="29">
        <v>135</v>
      </c>
      <c r="G15" s="19">
        <v>0</v>
      </c>
      <c r="H15" s="25">
        <v>1</v>
      </c>
      <c r="I15" s="19">
        <v>0</v>
      </c>
      <c r="J15" s="25">
        <v>1</v>
      </c>
      <c r="K15" s="19">
        <v>2</v>
      </c>
      <c r="L15" s="25">
        <v>82</v>
      </c>
      <c r="M15" s="19">
        <v>0</v>
      </c>
      <c r="N15" s="25">
        <v>65</v>
      </c>
      <c r="O15" s="19">
        <v>0</v>
      </c>
      <c r="P15" s="25">
        <v>13</v>
      </c>
      <c r="Q15" s="19">
        <v>1</v>
      </c>
      <c r="R15" s="25">
        <v>53</v>
      </c>
      <c r="S15" s="19">
        <v>1</v>
      </c>
      <c r="T15" s="25">
        <v>50</v>
      </c>
      <c r="U15" s="19">
        <v>0</v>
      </c>
      <c r="V15" s="29">
        <v>25</v>
      </c>
      <c r="W15" s="19">
        <v>1</v>
      </c>
      <c r="X15" s="25">
        <v>26</v>
      </c>
      <c r="Y15" s="19">
        <v>1</v>
      </c>
      <c r="Z15" s="29">
        <v>98</v>
      </c>
    </row>
    <row r="16" spans="1:26" s="14" customFormat="1" ht="18.75" customHeight="1">
      <c r="A16" s="8" t="s">
        <v>50</v>
      </c>
      <c r="B16" s="14" t="s">
        <v>1</v>
      </c>
      <c r="C16" s="19">
        <v>7</v>
      </c>
      <c r="D16" s="25">
        <v>538</v>
      </c>
      <c r="E16" s="43">
        <v>0</v>
      </c>
      <c r="F16" s="29">
        <v>124</v>
      </c>
      <c r="G16" s="19">
        <v>0</v>
      </c>
      <c r="H16" s="25">
        <v>0</v>
      </c>
      <c r="I16" s="19">
        <v>0</v>
      </c>
      <c r="J16" s="25">
        <v>3</v>
      </c>
      <c r="K16" s="19">
        <v>2</v>
      </c>
      <c r="L16" s="25">
        <v>93</v>
      </c>
      <c r="M16" s="19">
        <v>1</v>
      </c>
      <c r="N16" s="25">
        <v>64</v>
      </c>
      <c r="O16" s="19">
        <v>2</v>
      </c>
      <c r="P16" s="25">
        <v>7</v>
      </c>
      <c r="Q16" s="19">
        <v>0</v>
      </c>
      <c r="R16" s="25">
        <v>64</v>
      </c>
      <c r="S16" s="19">
        <v>0</v>
      </c>
      <c r="T16" s="25">
        <v>47</v>
      </c>
      <c r="U16" s="19">
        <v>1</v>
      </c>
      <c r="V16" s="29">
        <v>21</v>
      </c>
      <c r="W16" s="19">
        <v>0</v>
      </c>
      <c r="X16" s="25">
        <v>25</v>
      </c>
      <c r="Y16" s="19">
        <v>1</v>
      </c>
      <c r="Z16" s="29">
        <v>90</v>
      </c>
    </row>
    <row r="17" spans="1:26" s="14" customFormat="1" ht="18.75" customHeight="1">
      <c r="A17" s="8" t="s">
        <v>51</v>
      </c>
      <c r="B17" s="14" t="s">
        <v>1</v>
      </c>
      <c r="C17" s="19">
        <v>5</v>
      </c>
      <c r="D17" s="25">
        <v>508</v>
      </c>
      <c r="E17" s="43">
        <v>0</v>
      </c>
      <c r="F17" s="29">
        <v>130</v>
      </c>
      <c r="G17" s="19">
        <v>0</v>
      </c>
      <c r="H17" s="25">
        <v>0</v>
      </c>
      <c r="I17" s="19">
        <v>0</v>
      </c>
      <c r="J17" s="25">
        <v>1</v>
      </c>
      <c r="K17" s="19">
        <v>3</v>
      </c>
      <c r="L17" s="25">
        <v>76</v>
      </c>
      <c r="M17" s="19">
        <v>2</v>
      </c>
      <c r="N17" s="25">
        <v>69</v>
      </c>
      <c r="O17" s="19">
        <v>0</v>
      </c>
      <c r="P17" s="25">
        <v>10</v>
      </c>
      <c r="Q17" s="19">
        <v>0</v>
      </c>
      <c r="R17" s="25">
        <v>72</v>
      </c>
      <c r="S17" s="19">
        <v>0</v>
      </c>
      <c r="T17" s="25">
        <v>36</v>
      </c>
      <c r="U17" s="19">
        <v>0</v>
      </c>
      <c r="V17" s="29">
        <v>14</v>
      </c>
      <c r="W17" s="19">
        <v>0</v>
      </c>
      <c r="X17" s="25">
        <v>21</v>
      </c>
      <c r="Y17" s="19">
        <v>0</v>
      </c>
      <c r="Z17" s="29">
        <v>79</v>
      </c>
    </row>
    <row r="18" spans="1:26" s="14" customFormat="1" ht="18.75" customHeight="1">
      <c r="A18" s="8" t="s">
        <v>52</v>
      </c>
      <c r="B18" s="14" t="s">
        <v>1</v>
      </c>
      <c r="C18" s="19">
        <v>7</v>
      </c>
      <c r="D18" s="25">
        <v>474</v>
      </c>
      <c r="E18" s="43">
        <v>0</v>
      </c>
      <c r="F18" s="27">
        <v>109</v>
      </c>
      <c r="G18" s="28">
        <v>0</v>
      </c>
      <c r="H18" s="25">
        <v>0</v>
      </c>
      <c r="I18" s="19">
        <v>0</v>
      </c>
      <c r="J18" s="25">
        <v>5</v>
      </c>
      <c r="K18" s="19">
        <v>1</v>
      </c>
      <c r="L18" s="25">
        <v>64</v>
      </c>
      <c r="M18" s="19">
        <v>1</v>
      </c>
      <c r="N18" s="29">
        <v>66</v>
      </c>
      <c r="O18" s="28">
        <v>0</v>
      </c>
      <c r="P18" s="25">
        <v>6</v>
      </c>
      <c r="Q18" s="26">
        <v>3</v>
      </c>
      <c r="R18" s="28">
        <v>52</v>
      </c>
      <c r="S18" s="19">
        <v>0</v>
      </c>
      <c r="T18" s="25">
        <v>53</v>
      </c>
      <c r="U18" s="19">
        <v>0</v>
      </c>
      <c r="V18" s="29">
        <v>22</v>
      </c>
      <c r="W18" s="26">
        <v>0</v>
      </c>
      <c r="X18" s="27">
        <v>18</v>
      </c>
      <c r="Y18" s="28">
        <v>2</v>
      </c>
      <c r="Z18" s="29">
        <v>79</v>
      </c>
    </row>
    <row r="19" spans="1:26" s="14" customFormat="1" ht="18.75" customHeight="1">
      <c r="A19" s="8" t="s">
        <v>54</v>
      </c>
      <c r="B19" s="14" t="s">
        <v>1</v>
      </c>
      <c r="C19" s="19">
        <v>5</v>
      </c>
      <c r="D19" s="25">
        <v>498</v>
      </c>
      <c r="E19" s="43">
        <v>1</v>
      </c>
      <c r="F19" s="27">
        <v>101</v>
      </c>
      <c r="G19" s="28">
        <v>0</v>
      </c>
      <c r="H19" s="25">
        <v>3</v>
      </c>
      <c r="I19" s="26">
        <v>0</v>
      </c>
      <c r="J19" s="29">
        <v>1</v>
      </c>
      <c r="K19" s="28">
        <v>1</v>
      </c>
      <c r="L19" s="25">
        <v>71</v>
      </c>
      <c r="M19" s="26">
        <v>2</v>
      </c>
      <c r="N19" s="27">
        <v>57</v>
      </c>
      <c r="O19" s="28">
        <v>1</v>
      </c>
      <c r="P19" s="25">
        <v>11</v>
      </c>
      <c r="Q19" s="26">
        <v>0</v>
      </c>
      <c r="R19" s="28">
        <v>36</v>
      </c>
      <c r="S19" s="26">
        <v>0</v>
      </c>
      <c r="T19" s="27">
        <v>70</v>
      </c>
      <c r="U19" s="28">
        <v>0</v>
      </c>
      <c r="V19" s="29">
        <v>16</v>
      </c>
      <c r="W19" s="26">
        <v>0</v>
      </c>
      <c r="X19" s="27">
        <v>22</v>
      </c>
      <c r="Y19" s="28">
        <v>0</v>
      </c>
      <c r="Z19" s="29">
        <v>110</v>
      </c>
    </row>
    <row r="20" spans="1:26" s="14" customFormat="1" ht="18.75" customHeight="1" thickBot="1">
      <c r="A20" s="86" t="s">
        <v>78</v>
      </c>
      <c r="B20" s="14" t="s">
        <v>1</v>
      </c>
      <c r="C20" s="19">
        <v>6</v>
      </c>
      <c r="D20" s="25">
        <v>442</v>
      </c>
      <c r="E20" s="43">
        <v>0</v>
      </c>
      <c r="F20" s="27">
        <v>91</v>
      </c>
      <c r="G20" s="28">
        <v>0</v>
      </c>
      <c r="H20" s="25">
        <v>0</v>
      </c>
      <c r="I20" s="26">
        <v>0</v>
      </c>
      <c r="J20" s="27">
        <v>2</v>
      </c>
      <c r="K20" s="28">
        <v>2</v>
      </c>
      <c r="L20" s="25">
        <v>58</v>
      </c>
      <c r="M20" s="26">
        <v>0</v>
      </c>
      <c r="N20" s="27">
        <v>55</v>
      </c>
      <c r="O20" s="28">
        <v>0</v>
      </c>
      <c r="P20" s="25">
        <v>9</v>
      </c>
      <c r="Q20" s="26">
        <v>1</v>
      </c>
      <c r="R20" s="28">
        <v>31</v>
      </c>
      <c r="S20" s="85">
        <v>0</v>
      </c>
      <c r="T20" s="27">
        <v>55</v>
      </c>
      <c r="U20" s="28">
        <v>2</v>
      </c>
      <c r="V20" s="29">
        <v>23</v>
      </c>
      <c r="W20" s="26">
        <v>0</v>
      </c>
      <c r="X20" s="27">
        <v>22</v>
      </c>
      <c r="Y20" s="28">
        <v>1</v>
      </c>
      <c r="Z20" s="29">
        <v>96</v>
      </c>
    </row>
    <row r="21" spans="1:26" s="5" customFormat="1" ht="16.5" customHeight="1" thickTop="1">
      <c r="A21" s="15" t="s">
        <v>71</v>
      </c>
      <c r="B21" s="16" t="s">
        <v>2</v>
      </c>
      <c r="C21" s="20">
        <v>1</v>
      </c>
      <c r="D21" s="30">
        <v>55</v>
      </c>
      <c r="E21" s="45">
        <v>0</v>
      </c>
      <c r="F21" s="32">
        <v>10</v>
      </c>
      <c r="G21" s="33">
        <v>0</v>
      </c>
      <c r="H21" s="30">
        <v>0</v>
      </c>
      <c r="I21" s="31">
        <v>0</v>
      </c>
      <c r="J21" s="32">
        <v>0</v>
      </c>
      <c r="K21" s="33">
        <v>0</v>
      </c>
      <c r="L21" s="30">
        <v>4</v>
      </c>
      <c r="M21" s="31">
        <v>0</v>
      </c>
      <c r="N21" s="32">
        <v>10</v>
      </c>
      <c r="O21" s="33">
        <v>0</v>
      </c>
      <c r="P21" s="30">
        <v>2</v>
      </c>
      <c r="Q21" s="31">
        <v>0</v>
      </c>
      <c r="R21" s="32">
        <v>3</v>
      </c>
      <c r="S21" s="20">
        <v>0</v>
      </c>
      <c r="T21" s="34">
        <v>6</v>
      </c>
      <c r="U21" s="33">
        <v>0</v>
      </c>
      <c r="V21" s="34">
        <v>3</v>
      </c>
      <c r="W21" s="31">
        <v>0</v>
      </c>
      <c r="X21" s="32">
        <v>0</v>
      </c>
      <c r="Y21" s="33">
        <v>1</v>
      </c>
      <c r="Z21" s="34">
        <v>17</v>
      </c>
    </row>
    <row r="22" spans="1:26" s="5" customFormat="1" ht="16.5" customHeight="1">
      <c r="A22" s="8"/>
      <c r="B22" s="9" t="s">
        <v>3</v>
      </c>
      <c r="C22" s="19">
        <v>1</v>
      </c>
      <c r="D22" s="25">
        <v>43</v>
      </c>
      <c r="E22" s="43">
        <v>0</v>
      </c>
      <c r="F22" s="27">
        <v>10</v>
      </c>
      <c r="G22" s="28">
        <v>0</v>
      </c>
      <c r="H22" s="25">
        <v>0</v>
      </c>
      <c r="I22" s="26">
        <v>0</v>
      </c>
      <c r="J22" s="27">
        <v>0</v>
      </c>
      <c r="K22" s="28">
        <v>1</v>
      </c>
      <c r="L22" s="25">
        <v>1</v>
      </c>
      <c r="M22" s="26">
        <v>0</v>
      </c>
      <c r="N22" s="27">
        <v>7</v>
      </c>
      <c r="O22" s="28">
        <v>0</v>
      </c>
      <c r="P22" s="25">
        <v>2</v>
      </c>
      <c r="Q22" s="26">
        <v>0</v>
      </c>
      <c r="R22" s="27">
        <v>3</v>
      </c>
      <c r="S22" s="19">
        <v>0</v>
      </c>
      <c r="T22" s="29">
        <v>4</v>
      </c>
      <c r="U22" s="28">
        <v>0</v>
      </c>
      <c r="V22" s="29">
        <v>4</v>
      </c>
      <c r="W22" s="26">
        <v>0</v>
      </c>
      <c r="X22" s="27">
        <v>3</v>
      </c>
      <c r="Y22" s="28">
        <v>0</v>
      </c>
      <c r="Z22" s="29">
        <v>9</v>
      </c>
    </row>
    <row r="23" spans="1:26" s="5" customFormat="1" ht="16.5" customHeight="1">
      <c r="A23" s="8"/>
      <c r="B23" s="9" t="s">
        <v>4</v>
      </c>
      <c r="C23" s="19">
        <v>0</v>
      </c>
      <c r="D23" s="25">
        <v>39</v>
      </c>
      <c r="E23" s="43">
        <v>0</v>
      </c>
      <c r="F23" s="27">
        <v>14</v>
      </c>
      <c r="G23" s="28">
        <v>0</v>
      </c>
      <c r="H23" s="25">
        <v>0</v>
      </c>
      <c r="I23" s="26">
        <v>0</v>
      </c>
      <c r="J23" s="27">
        <v>0</v>
      </c>
      <c r="K23" s="28">
        <v>0</v>
      </c>
      <c r="L23" s="25">
        <v>6</v>
      </c>
      <c r="M23" s="26">
        <v>0</v>
      </c>
      <c r="N23" s="27">
        <v>2</v>
      </c>
      <c r="O23" s="28">
        <v>0</v>
      </c>
      <c r="P23" s="25">
        <v>0</v>
      </c>
      <c r="Q23" s="26">
        <v>0</v>
      </c>
      <c r="R23" s="27">
        <v>0</v>
      </c>
      <c r="S23" s="19">
        <v>0</v>
      </c>
      <c r="T23" s="29">
        <v>5</v>
      </c>
      <c r="U23" s="28">
        <v>0</v>
      </c>
      <c r="V23" s="29">
        <v>1</v>
      </c>
      <c r="W23" s="26">
        <v>0</v>
      </c>
      <c r="X23" s="27">
        <v>7</v>
      </c>
      <c r="Y23" s="28">
        <v>0</v>
      </c>
      <c r="Z23" s="29">
        <v>4</v>
      </c>
    </row>
    <row r="24" spans="1:26" s="5" customFormat="1" ht="16.5" customHeight="1">
      <c r="A24" s="8"/>
      <c r="B24" s="9" t="s">
        <v>5</v>
      </c>
      <c r="C24" s="19">
        <v>0</v>
      </c>
      <c r="D24" s="25">
        <v>25</v>
      </c>
      <c r="E24" s="43">
        <v>0</v>
      </c>
      <c r="F24" s="27">
        <v>8</v>
      </c>
      <c r="G24" s="28">
        <v>0</v>
      </c>
      <c r="H24" s="25">
        <v>0</v>
      </c>
      <c r="I24" s="26">
        <v>0</v>
      </c>
      <c r="J24" s="27">
        <v>0</v>
      </c>
      <c r="K24" s="28">
        <v>0</v>
      </c>
      <c r="L24" s="25">
        <v>4</v>
      </c>
      <c r="M24" s="26">
        <v>0</v>
      </c>
      <c r="N24" s="27">
        <v>2</v>
      </c>
      <c r="O24" s="28">
        <v>0</v>
      </c>
      <c r="P24" s="25">
        <v>1</v>
      </c>
      <c r="Q24" s="26">
        <v>0</v>
      </c>
      <c r="R24" s="27">
        <v>1</v>
      </c>
      <c r="S24" s="19">
        <v>0</v>
      </c>
      <c r="T24" s="29">
        <v>4</v>
      </c>
      <c r="U24" s="28">
        <v>0</v>
      </c>
      <c r="V24" s="29">
        <v>1</v>
      </c>
      <c r="W24" s="26">
        <v>0</v>
      </c>
      <c r="X24" s="27">
        <v>0</v>
      </c>
      <c r="Y24" s="28">
        <v>0</v>
      </c>
      <c r="Z24" s="29">
        <v>4</v>
      </c>
    </row>
    <row r="25" spans="1:26" s="5" customFormat="1" ht="16.5" customHeight="1">
      <c r="A25" s="8" t="s">
        <v>72</v>
      </c>
      <c r="B25" s="9" t="s">
        <v>6</v>
      </c>
      <c r="C25" s="19">
        <v>0</v>
      </c>
      <c r="D25" s="25">
        <v>39</v>
      </c>
      <c r="E25" s="43">
        <v>0</v>
      </c>
      <c r="F25" s="27">
        <v>6</v>
      </c>
      <c r="G25" s="28">
        <v>0</v>
      </c>
      <c r="H25" s="25">
        <v>0</v>
      </c>
      <c r="I25" s="26">
        <v>0</v>
      </c>
      <c r="J25" s="27">
        <v>0</v>
      </c>
      <c r="K25" s="28">
        <v>0</v>
      </c>
      <c r="L25" s="25">
        <v>7</v>
      </c>
      <c r="M25" s="26">
        <v>0</v>
      </c>
      <c r="N25" s="27">
        <v>5</v>
      </c>
      <c r="O25" s="28">
        <v>0</v>
      </c>
      <c r="P25" s="25">
        <v>0</v>
      </c>
      <c r="Q25" s="26">
        <v>0</v>
      </c>
      <c r="R25" s="27">
        <v>2</v>
      </c>
      <c r="S25" s="19">
        <v>0</v>
      </c>
      <c r="T25" s="29">
        <v>6</v>
      </c>
      <c r="U25" s="28">
        <v>0</v>
      </c>
      <c r="V25" s="29">
        <v>4</v>
      </c>
      <c r="W25" s="26">
        <v>0</v>
      </c>
      <c r="X25" s="27">
        <v>1</v>
      </c>
      <c r="Y25" s="28">
        <v>0</v>
      </c>
      <c r="Z25" s="29">
        <v>8</v>
      </c>
    </row>
    <row r="26" spans="1:26" s="61" customFormat="1" ht="16.5" customHeight="1">
      <c r="A26" s="52"/>
      <c r="B26" s="53" t="s">
        <v>7</v>
      </c>
      <c r="C26" s="54">
        <v>0</v>
      </c>
      <c r="D26" s="55">
        <v>39</v>
      </c>
      <c r="E26" s="56">
        <v>0</v>
      </c>
      <c r="F26" s="57">
        <v>12</v>
      </c>
      <c r="G26" s="58">
        <v>0</v>
      </c>
      <c r="H26" s="55">
        <v>0</v>
      </c>
      <c r="I26" s="59">
        <v>0</v>
      </c>
      <c r="J26" s="57">
        <v>0</v>
      </c>
      <c r="K26" s="58">
        <v>0</v>
      </c>
      <c r="L26" s="55">
        <v>6</v>
      </c>
      <c r="M26" s="59">
        <v>0</v>
      </c>
      <c r="N26" s="57">
        <v>3</v>
      </c>
      <c r="O26" s="58">
        <v>0</v>
      </c>
      <c r="P26" s="55">
        <v>0</v>
      </c>
      <c r="Q26" s="59">
        <v>0</v>
      </c>
      <c r="R26" s="57">
        <v>1</v>
      </c>
      <c r="S26" s="54">
        <v>0</v>
      </c>
      <c r="T26" s="60">
        <v>4</v>
      </c>
      <c r="U26" s="58">
        <v>0</v>
      </c>
      <c r="V26" s="60">
        <v>3</v>
      </c>
      <c r="W26" s="59">
        <v>0</v>
      </c>
      <c r="X26" s="57">
        <v>3</v>
      </c>
      <c r="Y26" s="58">
        <v>0</v>
      </c>
      <c r="Z26" s="60">
        <v>7</v>
      </c>
    </row>
    <row r="27" spans="1:26" s="61" customFormat="1" ht="16.5" customHeight="1">
      <c r="A27" s="52"/>
      <c r="B27" s="53" t="s">
        <v>8</v>
      </c>
      <c r="C27" s="54">
        <v>0</v>
      </c>
      <c r="D27" s="55">
        <v>23</v>
      </c>
      <c r="E27" s="56">
        <v>0</v>
      </c>
      <c r="F27" s="57">
        <v>5</v>
      </c>
      <c r="G27" s="58">
        <v>0</v>
      </c>
      <c r="H27" s="55">
        <v>0</v>
      </c>
      <c r="I27" s="59">
        <v>0</v>
      </c>
      <c r="J27" s="57">
        <v>0</v>
      </c>
      <c r="K27" s="58">
        <v>0</v>
      </c>
      <c r="L27" s="55">
        <v>5</v>
      </c>
      <c r="M27" s="59">
        <v>0</v>
      </c>
      <c r="N27" s="57">
        <v>1</v>
      </c>
      <c r="O27" s="58">
        <v>0</v>
      </c>
      <c r="P27" s="55">
        <v>0</v>
      </c>
      <c r="Q27" s="59">
        <v>0</v>
      </c>
      <c r="R27" s="57">
        <v>1</v>
      </c>
      <c r="S27" s="54">
        <v>0</v>
      </c>
      <c r="T27" s="60">
        <v>2</v>
      </c>
      <c r="U27" s="58">
        <v>0</v>
      </c>
      <c r="V27" s="60">
        <v>2</v>
      </c>
      <c r="W27" s="59">
        <v>0</v>
      </c>
      <c r="X27" s="57">
        <v>1</v>
      </c>
      <c r="Y27" s="58">
        <v>0</v>
      </c>
      <c r="Z27" s="60">
        <v>6</v>
      </c>
    </row>
    <row r="28" spans="1:26" s="5" customFormat="1" ht="16.5" customHeight="1">
      <c r="A28" s="8"/>
      <c r="B28" s="9" t="s">
        <v>9</v>
      </c>
      <c r="C28" s="19">
        <v>0</v>
      </c>
      <c r="D28" s="25">
        <v>40</v>
      </c>
      <c r="E28" s="43">
        <v>0</v>
      </c>
      <c r="F28" s="27">
        <v>6</v>
      </c>
      <c r="G28" s="28">
        <v>0</v>
      </c>
      <c r="H28" s="25">
        <v>0</v>
      </c>
      <c r="I28" s="26">
        <v>0</v>
      </c>
      <c r="J28" s="27">
        <v>0</v>
      </c>
      <c r="K28" s="28">
        <v>0</v>
      </c>
      <c r="L28" s="25">
        <v>6</v>
      </c>
      <c r="M28" s="26">
        <v>0</v>
      </c>
      <c r="N28" s="27">
        <v>4</v>
      </c>
      <c r="O28" s="28">
        <v>0</v>
      </c>
      <c r="P28" s="25">
        <v>2</v>
      </c>
      <c r="Q28" s="26">
        <v>0</v>
      </c>
      <c r="R28" s="27">
        <v>2</v>
      </c>
      <c r="S28" s="19">
        <v>0</v>
      </c>
      <c r="T28" s="29">
        <v>7</v>
      </c>
      <c r="U28" s="28">
        <v>0</v>
      </c>
      <c r="V28" s="29">
        <v>1</v>
      </c>
      <c r="W28" s="26">
        <v>0</v>
      </c>
      <c r="X28" s="27">
        <v>2</v>
      </c>
      <c r="Y28" s="28">
        <v>0</v>
      </c>
      <c r="Z28" s="29">
        <v>10</v>
      </c>
    </row>
    <row r="29" spans="1:26" s="5" customFormat="1" ht="16.5" customHeight="1">
      <c r="A29" s="8"/>
      <c r="B29" s="9" t="s">
        <v>10</v>
      </c>
      <c r="C29" s="19">
        <v>1</v>
      </c>
      <c r="D29" s="25">
        <v>33</v>
      </c>
      <c r="E29" s="43">
        <v>0</v>
      </c>
      <c r="F29" s="27">
        <v>8</v>
      </c>
      <c r="G29" s="28">
        <v>0</v>
      </c>
      <c r="H29" s="25">
        <v>0</v>
      </c>
      <c r="I29" s="26">
        <v>0</v>
      </c>
      <c r="J29" s="27">
        <v>1</v>
      </c>
      <c r="K29" s="28">
        <v>1</v>
      </c>
      <c r="L29" s="25">
        <v>4</v>
      </c>
      <c r="M29" s="26">
        <v>0</v>
      </c>
      <c r="N29" s="27">
        <v>4</v>
      </c>
      <c r="O29" s="28">
        <v>0</v>
      </c>
      <c r="P29" s="25">
        <v>2</v>
      </c>
      <c r="Q29" s="26">
        <v>0</v>
      </c>
      <c r="R29" s="27">
        <v>3</v>
      </c>
      <c r="S29" s="19">
        <v>0</v>
      </c>
      <c r="T29" s="29">
        <v>1</v>
      </c>
      <c r="U29" s="28">
        <v>0</v>
      </c>
      <c r="V29" s="29">
        <v>2</v>
      </c>
      <c r="W29" s="26">
        <v>0</v>
      </c>
      <c r="X29" s="27">
        <v>1</v>
      </c>
      <c r="Y29" s="28">
        <v>0</v>
      </c>
      <c r="Z29" s="29">
        <v>7</v>
      </c>
    </row>
    <row r="30" spans="1:26" s="5" customFormat="1" ht="16.5" customHeight="1">
      <c r="A30" s="8"/>
      <c r="B30" s="9" t="s">
        <v>11</v>
      </c>
      <c r="C30" s="19">
        <v>1</v>
      </c>
      <c r="D30" s="25">
        <v>30</v>
      </c>
      <c r="E30" s="43">
        <v>0</v>
      </c>
      <c r="F30" s="27">
        <v>5</v>
      </c>
      <c r="G30" s="28">
        <v>0</v>
      </c>
      <c r="H30" s="25">
        <v>0</v>
      </c>
      <c r="I30" s="26">
        <v>0</v>
      </c>
      <c r="J30" s="27">
        <v>0</v>
      </c>
      <c r="K30" s="28">
        <v>0</v>
      </c>
      <c r="L30" s="25">
        <v>5</v>
      </c>
      <c r="M30" s="26">
        <v>0</v>
      </c>
      <c r="N30" s="27">
        <v>2</v>
      </c>
      <c r="O30" s="28">
        <v>0</v>
      </c>
      <c r="P30" s="25">
        <v>0</v>
      </c>
      <c r="Q30" s="26">
        <v>0</v>
      </c>
      <c r="R30" s="27">
        <v>7</v>
      </c>
      <c r="S30" s="19">
        <v>0</v>
      </c>
      <c r="T30" s="29">
        <v>3</v>
      </c>
      <c r="U30" s="28">
        <v>1</v>
      </c>
      <c r="V30" s="29">
        <v>0</v>
      </c>
      <c r="W30" s="26">
        <v>0</v>
      </c>
      <c r="X30" s="27">
        <v>2</v>
      </c>
      <c r="Y30" s="28">
        <v>0</v>
      </c>
      <c r="Z30" s="29">
        <v>6</v>
      </c>
    </row>
    <row r="31" spans="1:26" s="5" customFormat="1" ht="16.5" customHeight="1">
      <c r="A31" s="8"/>
      <c r="B31" s="9" t="s">
        <v>12</v>
      </c>
      <c r="C31" s="19">
        <v>2</v>
      </c>
      <c r="D31" s="25">
        <v>38</v>
      </c>
      <c r="E31" s="43">
        <v>0</v>
      </c>
      <c r="F31" s="27">
        <v>4</v>
      </c>
      <c r="G31" s="28">
        <v>0</v>
      </c>
      <c r="H31" s="25">
        <v>0</v>
      </c>
      <c r="I31" s="26">
        <v>0</v>
      </c>
      <c r="J31" s="27">
        <v>1</v>
      </c>
      <c r="K31" s="28">
        <v>0</v>
      </c>
      <c r="L31" s="25">
        <v>7</v>
      </c>
      <c r="M31" s="26">
        <v>0</v>
      </c>
      <c r="N31" s="27">
        <v>6</v>
      </c>
      <c r="O31" s="28">
        <v>0</v>
      </c>
      <c r="P31" s="25">
        <v>0</v>
      </c>
      <c r="Q31" s="26">
        <v>1</v>
      </c>
      <c r="R31" s="27">
        <v>7</v>
      </c>
      <c r="S31" s="19">
        <v>0</v>
      </c>
      <c r="T31" s="29">
        <v>5</v>
      </c>
      <c r="U31" s="28">
        <v>1</v>
      </c>
      <c r="V31" s="29">
        <v>2</v>
      </c>
      <c r="W31" s="26">
        <v>0</v>
      </c>
      <c r="X31" s="27">
        <v>0</v>
      </c>
      <c r="Y31" s="28">
        <v>0</v>
      </c>
      <c r="Z31" s="29">
        <v>6</v>
      </c>
    </row>
    <row r="32" spans="1:26" s="5" customFormat="1" ht="16.5" customHeight="1" thickBot="1">
      <c r="A32" s="10"/>
      <c r="B32" s="11" t="s">
        <v>13</v>
      </c>
      <c r="C32" s="49">
        <v>0</v>
      </c>
      <c r="D32" s="83">
        <v>38</v>
      </c>
      <c r="E32" s="46">
        <v>0</v>
      </c>
      <c r="F32" s="37">
        <v>3</v>
      </c>
      <c r="G32" s="38">
        <v>0</v>
      </c>
      <c r="H32" s="35">
        <v>0</v>
      </c>
      <c r="I32" s="36">
        <v>0</v>
      </c>
      <c r="J32" s="37">
        <v>0</v>
      </c>
      <c r="K32" s="38">
        <v>0</v>
      </c>
      <c r="L32" s="35">
        <v>3</v>
      </c>
      <c r="M32" s="36">
        <v>0</v>
      </c>
      <c r="N32" s="37">
        <v>9</v>
      </c>
      <c r="O32" s="38">
        <v>0</v>
      </c>
      <c r="P32" s="35">
        <v>0</v>
      </c>
      <c r="Q32" s="36">
        <v>0</v>
      </c>
      <c r="R32" s="37">
        <v>1</v>
      </c>
      <c r="S32" s="21">
        <v>0</v>
      </c>
      <c r="T32" s="39">
        <v>8</v>
      </c>
      <c r="U32" s="38">
        <v>0</v>
      </c>
      <c r="V32" s="39">
        <v>0</v>
      </c>
      <c r="W32" s="36">
        <v>0</v>
      </c>
      <c r="X32" s="37">
        <v>2</v>
      </c>
      <c r="Y32" s="38">
        <v>0</v>
      </c>
      <c r="Z32" s="39">
        <v>12</v>
      </c>
    </row>
    <row r="33" spans="1:26" s="5" customFormat="1" ht="16.5" customHeight="1" thickTop="1">
      <c r="A33" s="15" t="s">
        <v>79</v>
      </c>
      <c r="B33" s="16" t="s">
        <v>2</v>
      </c>
      <c r="C33" s="54">
        <v>0</v>
      </c>
      <c r="D33" s="55">
        <v>37</v>
      </c>
      <c r="E33" s="45">
        <v>0</v>
      </c>
      <c r="F33" s="32">
        <v>7</v>
      </c>
      <c r="G33" s="33">
        <v>0</v>
      </c>
      <c r="H33" s="30">
        <v>0</v>
      </c>
      <c r="I33" s="31">
        <v>0</v>
      </c>
      <c r="J33" s="32">
        <v>0</v>
      </c>
      <c r="K33" s="33">
        <v>0</v>
      </c>
      <c r="L33" s="30">
        <v>3</v>
      </c>
      <c r="M33" s="31">
        <v>0</v>
      </c>
      <c r="N33" s="32">
        <v>5</v>
      </c>
      <c r="O33" s="33">
        <v>0</v>
      </c>
      <c r="P33" s="30">
        <v>1</v>
      </c>
      <c r="Q33" s="31">
        <v>0</v>
      </c>
      <c r="R33" s="32">
        <v>4</v>
      </c>
      <c r="S33" s="20">
        <v>0</v>
      </c>
      <c r="T33" s="34">
        <v>5</v>
      </c>
      <c r="U33" s="33">
        <v>0</v>
      </c>
      <c r="V33" s="34">
        <v>3</v>
      </c>
      <c r="W33" s="31">
        <v>0</v>
      </c>
      <c r="X33" s="32">
        <v>0</v>
      </c>
      <c r="Y33" s="33">
        <v>0</v>
      </c>
      <c r="Z33" s="34">
        <v>9</v>
      </c>
    </row>
    <row r="34" spans="1:26" s="5" customFormat="1" ht="16.5" customHeight="1">
      <c r="A34" s="8"/>
      <c r="B34" s="9" t="s">
        <v>3</v>
      </c>
      <c r="C34" s="54">
        <v>0</v>
      </c>
      <c r="D34" s="55">
        <v>34</v>
      </c>
      <c r="E34" s="43">
        <v>0</v>
      </c>
      <c r="F34" s="27">
        <v>3</v>
      </c>
      <c r="G34" s="28">
        <v>0</v>
      </c>
      <c r="H34" s="25">
        <v>0</v>
      </c>
      <c r="I34" s="26">
        <v>0</v>
      </c>
      <c r="J34" s="27">
        <v>0</v>
      </c>
      <c r="K34" s="28">
        <v>0</v>
      </c>
      <c r="L34" s="25">
        <v>4</v>
      </c>
      <c r="M34" s="26">
        <v>0</v>
      </c>
      <c r="N34" s="27">
        <v>8</v>
      </c>
      <c r="O34" s="28">
        <v>0</v>
      </c>
      <c r="P34" s="25">
        <v>0</v>
      </c>
      <c r="Q34" s="26">
        <v>0</v>
      </c>
      <c r="R34" s="27">
        <v>2</v>
      </c>
      <c r="S34" s="19">
        <v>0</v>
      </c>
      <c r="T34" s="29">
        <v>7</v>
      </c>
      <c r="U34" s="28">
        <v>0</v>
      </c>
      <c r="V34" s="29">
        <v>0</v>
      </c>
      <c r="W34" s="26">
        <v>0</v>
      </c>
      <c r="X34" s="27">
        <v>3</v>
      </c>
      <c r="Y34" s="28">
        <v>0</v>
      </c>
      <c r="Z34" s="29">
        <v>7</v>
      </c>
    </row>
    <row r="35" spans="1:26" s="5" customFormat="1" ht="16.5" customHeight="1">
      <c r="A35" s="8"/>
      <c r="B35" s="9" t="s">
        <v>4</v>
      </c>
      <c r="C35" s="54">
        <v>0</v>
      </c>
      <c r="D35" s="55">
        <v>34</v>
      </c>
      <c r="E35" s="43">
        <v>0</v>
      </c>
      <c r="F35" s="27">
        <v>4</v>
      </c>
      <c r="G35" s="28">
        <v>0</v>
      </c>
      <c r="H35" s="25">
        <v>0</v>
      </c>
      <c r="I35" s="26">
        <v>0</v>
      </c>
      <c r="J35" s="27">
        <v>1</v>
      </c>
      <c r="K35" s="28">
        <v>0</v>
      </c>
      <c r="L35" s="25">
        <v>5</v>
      </c>
      <c r="M35" s="26">
        <v>0</v>
      </c>
      <c r="N35" s="27">
        <v>6</v>
      </c>
      <c r="O35" s="28">
        <v>0</v>
      </c>
      <c r="P35" s="25">
        <v>0</v>
      </c>
      <c r="Q35" s="26">
        <v>0</v>
      </c>
      <c r="R35" s="27">
        <v>0</v>
      </c>
      <c r="S35" s="19">
        <v>0</v>
      </c>
      <c r="T35" s="29">
        <v>3</v>
      </c>
      <c r="U35" s="28">
        <v>0</v>
      </c>
      <c r="V35" s="29">
        <v>1</v>
      </c>
      <c r="W35" s="26">
        <v>0</v>
      </c>
      <c r="X35" s="27">
        <v>2</v>
      </c>
      <c r="Y35" s="28">
        <v>0</v>
      </c>
      <c r="Z35" s="29">
        <v>12</v>
      </c>
    </row>
    <row r="36" spans="1:26" s="5" customFormat="1" ht="16.5" customHeight="1">
      <c r="A36" s="8"/>
      <c r="B36" s="9" t="s">
        <v>5</v>
      </c>
      <c r="C36" s="54">
        <v>0</v>
      </c>
      <c r="D36" s="55">
        <v>39</v>
      </c>
      <c r="E36" s="43">
        <v>0</v>
      </c>
      <c r="F36" s="27">
        <v>7</v>
      </c>
      <c r="G36" s="28">
        <v>0</v>
      </c>
      <c r="H36" s="25">
        <v>0</v>
      </c>
      <c r="I36" s="26">
        <v>0</v>
      </c>
      <c r="J36" s="27">
        <v>0</v>
      </c>
      <c r="K36" s="28">
        <v>0</v>
      </c>
      <c r="L36" s="25">
        <v>9</v>
      </c>
      <c r="M36" s="26">
        <v>0</v>
      </c>
      <c r="N36" s="27">
        <v>5</v>
      </c>
      <c r="O36" s="28">
        <v>0</v>
      </c>
      <c r="P36" s="25">
        <v>1</v>
      </c>
      <c r="Q36" s="26">
        <v>0</v>
      </c>
      <c r="R36" s="27">
        <v>3</v>
      </c>
      <c r="S36" s="19">
        <v>0</v>
      </c>
      <c r="T36" s="29">
        <v>3</v>
      </c>
      <c r="U36" s="28">
        <v>0</v>
      </c>
      <c r="V36" s="29">
        <v>3</v>
      </c>
      <c r="W36" s="26">
        <v>0</v>
      </c>
      <c r="X36" s="27">
        <v>1</v>
      </c>
      <c r="Y36" s="28">
        <v>0</v>
      </c>
      <c r="Z36" s="29">
        <v>7</v>
      </c>
    </row>
    <row r="37" spans="1:26" s="5" customFormat="1" ht="16.5" customHeight="1">
      <c r="A37" s="8"/>
      <c r="B37" s="9" t="s">
        <v>6</v>
      </c>
      <c r="C37" s="54">
        <v>0</v>
      </c>
      <c r="D37" s="55">
        <v>29</v>
      </c>
      <c r="E37" s="43">
        <v>0</v>
      </c>
      <c r="F37" s="27">
        <v>3</v>
      </c>
      <c r="G37" s="28">
        <v>0</v>
      </c>
      <c r="H37" s="25">
        <v>0</v>
      </c>
      <c r="I37" s="26">
        <v>0</v>
      </c>
      <c r="J37" s="27">
        <v>0</v>
      </c>
      <c r="K37" s="28">
        <v>0</v>
      </c>
      <c r="L37" s="25">
        <v>7</v>
      </c>
      <c r="M37" s="26">
        <v>0</v>
      </c>
      <c r="N37" s="27">
        <v>3</v>
      </c>
      <c r="O37" s="28">
        <v>0</v>
      </c>
      <c r="P37" s="25">
        <v>0</v>
      </c>
      <c r="Q37" s="26">
        <v>0</v>
      </c>
      <c r="R37" s="27">
        <v>2</v>
      </c>
      <c r="S37" s="19">
        <v>0</v>
      </c>
      <c r="T37" s="29">
        <v>4</v>
      </c>
      <c r="U37" s="28">
        <v>0</v>
      </c>
      <c r="V37" s="29">
        <v>1</v>
      </c>
      <c r="W37" s="26">
        <v>0</v>
      </c>
      <c r="X37" s="27">
        <v>3</v>
      </c>
      <c r="Y37" s="28">
        <v>0</v>
      </c>
      <c r="Z37" s="29">
        <v>6</v>
      </c>
    </row>
    <row r="38" spans="1:26" s="61" customFormat="1" ht="16.5" customHeight="1">
      <c r="A38" s="52"/>
      <c r="B38" s="53" t="s">
        <v>7</v>
      </c>
      <c r="C38" s="54">
        <v>0</v>
      </c>
      <c r="D38" s="55">
        <v>43</v>
      </c>
      <c r="E38" s="43">
        <v>0</v>
      </c>
      <c r="F38" s="57">
        <v>8</v>
      </c>
      <c r="G38" s="28">
        <v>0</v>
      </c>
      <c r="H38" s="25">
        <v>0</v>
      </c>
      <c r="I38" s="26">
        <v>0</v>
      </c>
      <c r="J38" s="27">
        <v>0</v>
      </c>
      <c r="K38" s="28">
        <v>0</v>
      </c>
      <c r="L38" s="55">
        <v>5</v>
      </c>
      <c r="M38" s="26">
        <v>0</v>
      </c>
      <c r="N38" s="57">
        <v>8</v>
      </c>
      <c r="O38" s="28">
        <v>0</v>
      </c>
      <c r="P38" s="55">
        <v>3</v>
      </c>
      <c r="Q38" s="26">
        <v>0</v>
      </c>
      <c r="R38" s="27">
        <v>1</v>
      </c>
      <c r="S38" s="19">
        <v>0</v>
      </c>
      <c r="T38" s="60">
        <v>5</v>
      </c>
      <c r="U38" s="58">
        <v>0</v>
      </c>
      <c r="V38" s="60">
        <v>0</v>
      </c>
      <c r="W38" s="26">
        <v>0</v>
      </c>
      <c r="X38" s="27">
        <v>3</v>
      </c>
      <c r="Y38" s="28">
        <v>0</v>
      </c>
      <c r="Z38" s="60">
        <v>10</v>
      </c>
    </row>
    <row r="39" spans="1:26" s="61" customFormat="1" ht="16.5" customHeight="1">
      <c r="A39" s="52"/>
      <c r="B39" s="53" t="s">
        <v>8</v>
      </c>
      <c r="C39" s="54">
        <v>1</v>
      </c>
      <c r="D39" s="55">
        <v>37</v>
      </c>
      <c r="E39" s="56">
        <v>0</v>
      </c>
      <c r="F39" s="57">
        <v>8</v>
      </c>
      <c r="G39" s="58">
        <v>0</v>
      </c>
      <c r="H39" s="55">
        <v>0</v>
      </c>
      <c r="I39" s="59">
        <v>0</v>
      </c>
      <c r="J39" s="57">
        <v>0</v>
      </c>
      <c r="K39" s="58">
        <v>0</v>
      </c>
      <c r="L39" s="55">
        <v>5</v>
      </c>
      <c r="M39" s="59">
        <v>0</v>
      </c>
      <c r="N39" s="57">
        <v>4</v>
      </c>
      <c r="O39" s="58">
        <v>0</v>
      </c>
      <c r="P39" s="55">
        <v>0</v>
      </c>
      <c r="Q39" s="59">
        <v>0</v>
      </c>
      <c r="R39" s="57">
        <v>3</v>
      </c>
      <c r="S39" s="54">
        <v>0</v>
      </c>
      <c r="T39" s="60">
        <v>6</v>
      </c>
      <c r="U39" s="58">
        <v>0</v>
      </c>
      <c r="V39" s="60">
        <v>0</v>
      </c>
      <c r="W39" s="59">
        <v>0</v>
      </c>
      <c r="X39" s="57">
        <v>1</v>
      </c>
      <c r="Y39" s="58">
        <v>1</v>
      </c>
      <c r="Z39" s="60">
        <v>10</v>
      </c>
    </row>
    <row r="40" spans="1:26" s="5" customFormat="1" ht="16.5" customHeight="1">
      <c r="A40" s="8"/>
      <c r="B40" s="9" t="s">
        <v>9</v>
      </c>
      <c r="C40" s="19">
        <v>2</v>
      </c>
      <c r="D40" s="25">
        <v>36</v>
      </c>
      <c r="E40" s="43">
        <v>0</v>
      </c>
      <c r="F40" s="27">
        <v>5</v>
      </c>
      <c r="G40" s="28">
        <v>0</v>
      </c>
      <c r="H40" s="25">
        <v>0</v>
      </c>
      <c r="I40" s="26">
        <v>0</v>
      </c>
      <c r="J40" s="27">
        <v>0</v>
      </c>
      <c r="K40" s="28">
        <v>0</v>
      </c>
      <c r="L40" s="25">
        <v>9</v>
      </c>
      <c r="M40" s="26">
        <v>1</v>
      </c>
      <c r="N40" s="27">
        <v>6</v>
      </c>
      <c r="O40" s="28">
        <v>0</v>
      </c>
      <c r="P40" s="25">
        <v>0</v>
      </c>
      <c r="Q40" s="26">
        <v>1</v>
      </c>
      <c r="R40" s="27">
        <v>1</v>
      </c>
      <c r="S40" s="19">
        <v>0</v>
      </c>
      <c r="T40" s="29">
        <v>3</v>
      </c>
      <c r="U40" s="28">
        <v>0</v>
      </c>
      <c r="V40" s="29">
        <v>0</v>
      </c>
      <c r="W40" s="26">
        <v>0</v>
      </c>
      <c r="X40" s="27">
        <v>4</v>
      </c>
      <c r="Y40" s="28">
        <v>0</v>
      </c>
      <c r="Z40" s="29">
        <v>8</v>
      </c>
    </row>
    <row r="41" spans="1:26" s="5" customFormat="1" ht="16.5" customHeight="1">
      <c r="A41" s="8"/>
      <c r="B41" s="9" t="s">
        <v>10</v>
      </c>
      <c r="C41" s="19">
        <v>1</v>
      </c>
      <c r="D41" s="25">
        <v>47</v>
      </c>
      <c r="E41" s="43">
        <v>0</v>
      </c>
      <c r="F41" s="27">
        <v>8</v>
      </c>
      <c r="G41" s="28">
        <v>0</v>
      </c>
      <c r="H41" s="25">
        <v>0</v>
      </c>
      <c r="I41" s="26">
        <v>0</v>
      </c>
      <c r="J41" s="27">
        <v>0</v>
      </c>
      <c r="K41" s="28">
        <v>0</v>
      </c>
      <c r="L41" s="25">
        <v>10</v>
      </c>
      <c r="M41" s="26">
        <v>0</v>
      </c>
      <c r="N41" s="27">
        <v>7</v>
      </c>
      <c r="O41" s="28">
        <v>0</v>
      </c>
      <c r="P41" s="25">
        <v>0</v>
      </c>
      <c r="Q41" s="26">
        <v>1</v>
      </c>
      <c r="R41" s="27">
        <v>3</v>
      </c>
      <c r="S41" s="19">
        <v>0</v>
      </c>
      <c r="T41" s="29">
        <v>5</v>
      </c>
      <c r="U41" s="28">
        <v>0</v>
      </c>
      <c r="V41" s="29">
        <v>0</v>
      </c>
      <c r="W41" s="26">
        <v>0</v>
      </c>
      <c r="X41" s="27">
        <v>4</v>
      </c>
      <c r="Y41" s="28">
        <v>0</v>
      </c>
      <c r="Z41" s="29">
        <v>10</v>
      </c>
    </row>
    <row r="42" spans="1:26" s="5" customFormat="1" ht="16.5" customHeight="1">
      <c r="A42" s="8"/>
      <c r="B42" s="9" t="s">
        <v>11</v>
      </c>
      <c r="C42" s="19">
        <v>0</v>
      </c>
      <c r="D42" s="25">
        <v>50</v>
      </c>
      <c r="E42" s="43">
        <v>0</v>
      </c>
      <c r="F42" s="27">
        <v>10</v>
      </c>
      <c r="G42" s="28">
        <v>0</v>
      </c>
      <c r="H42" s="25">
        <v>0</v>
      </c>
      <c r="I42" s="26">
        <v>0</v>
      </c>
      <c r="J42" s="27">
        <v>0</v>
      </c>
      <c r="K42" s="28">
        <v>0</v>
      </c>
      <c r="L42" s="25">
        <v>5</v>
      </c>
      <c r="M42" s="26">
        <v>0</v>
      </c>
      <c r="N42" s="27">
        <v>12</v>
      </c>
      <c r="O42" s="28">
        <v>0</v>
      </c>
      <c r="P42" s="25">
        <v>0</v>
      </c>
      <c r="Q42" s="26">
        <v>0</v>
      </c>
      <c r="R42" s="27">
        <v>1</v>
      </c>
      <c r="S42" s="19">
        <v>0</v>
      </c>
      <c r="T42" s="29">
        <v>5</v>
      </c>
      <c r="U42" s="28">
        <v>0</v>
      </c>
      <c r="V42" s="29">
        <v>1</v>
      </c>
      <c r="W42" s="26">
        <v>0</v>
      </c>
      <c r="X42" s="27">
        <v>2</v>
      </c>
      <c r="Y42" s="28">
        <v>0</v>
      </c>
      <c r="Z42" s="29">
        <v>14</v>
      </c>
    </row>
    <row r="43" spans="1:26" s="5" customFormat="1" ht="16.5" customHeight="1">
      <c r="A43" s="8"/>
      <c r="B43" s="9" t="s">
        <v>12</v>
      </c>
      <c r="C43" s="19">
        <v>1</v>
      </c>
      <c r="D43" s="25">
        <v>37</v>
      </c>
      <c r="E43" s="43">
        <v>0</v>
      </c>
      <c r="F43" s="27">
        <v>5</v>
      </c>
      <c r="G43" s="28">
        <v>0</v>
      </c>
      <c r="H43" s="25">
        <v>0</v>
      </c>
      <c r="I43" s="26">
        <v>0</v>
      </c>
      <c r="J43" s="27">
        <v>0</v>
      </c>
      <c r="K43" s="28">
        <v>0</v>
      </c>
      <c r="L43" s="25">
        <v>7</v>
      </c>
      <c r="M43" s="26">
        <v>1</v>
      </c>
      <c r="N43" s="27">
        <v>5</v>
      </c>
      <c r="O43" s="28">
        <v>0</v>
      </c>
      <c r="P43" s="25">
        <v>1</v>
      </c>
      <c r="Q43" s="26">
        <v>0</v>
      </c>
      <c r="R43" s="27">
        <v>5</v>
      </c>
      <c r="S43" s="19">
        <v>0</v>
      </c>
      <c r="T43" s="29">
        <v>3</v>
      </c>
      <c r="U43" s="28">
        <v>0</v>
      </c>
      <c r="V43" s="29">
        <v>0</v>
      </c>
      <c r="W43" s="26">
        <v>0</v>
      </c>
      <c r="X43" s="27">
        <v>2</v>
      </c>
      <c r="Y43" s="28">
        <v>0</v>
      </c>
      <c r="Z43" s="29">
        <v>9</v>
      </c>
    </row>
    <row r="44" spans="1:26" s="5" customFormat="1" ht="16.5" customHeight="1">
      <c r="A44" s="10"/>
      <c r="B44" s="11" t="s">
        <v>13</v>
      </c>
      <c r="C44" s="21">
        <v>1</v>
      </c>
      <c r="D44" s="35">
        <v>46</v>
      </c>
      <c r="E44" s="46">
        <v>0</v>
      </c>
      <c r="F44" s="37">
        <v>5</v>
      </c>
      <c r="G44" s="38">
        <v>0</v>
      </c>
      <c r="H44" s="35">
        <v>0</v>
      </c>
      <c r="I44" s="36">
        <v>0</v>
      </c>
      <c r="J44" s="37">
        <v>0</v>
      </c>
      <c r="K44" s="38">
        <v>0</v>
      </c>
      <c r="L44" s="35">
        <v>6</v>
      </c>
      <c r="M44" s="36">
        <v>0</v>
      </c>
      <c r="N44" s="37">
        <v>10</v>
      </c>
      <c r="O44" s="38">
        <v>0</v>
      </c>
      <c r="P44" s="35">
        <v>1</v>
      </c>
      <c r="Q44" s="36">
        <v>0</v>
      </c>
      <c r="R44" s="37">
        <v>2</v>
      </c>
      <c r="S44" s="21">
        <v>0</v>
      </c>
      <c r="T44" s="39">
        <v>4</v>
      </c>
      <c r="U44" s="38">
        <v>0</v>
      </c>
      <c r="V44" s="39">
        <v>1</v>
      </c>
      <c r="W44" s="36">
        <v>1</v>
      </c>
      <c r="X44" s="37">
        <v>3</v>
      </c>
      <c r="Y44" s="38">
        <v>0</v>
      </c>
      <c r="Z44" s="39">
        <v>14</v>
      </c>
    </row>
    <row r="45" spans="1:26" s="5" customFormat="1" ht="16.5" customHeight="1" thickBot="1">
      <c r="A45" s="64" t="s">
        <v>37</v>
      </c>
      <c r="B45" s="6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s="5" customFormat="1" ht="16.5" customHeight="1">
      <c r="A46" s="95" t="str">
        <f>"2020（令和2）年"&amp;COUNTA(E33:E44)&amp;"月迄"</f>
        <v>2020（令和2）年12月迄</v>
      </c>
      <c r="B46" s="96"/>
      <c r="C46" s="76">
        <f>SUM(C33:C44)</f>
        <v>6</v>
      </c>
      <c r="D46" s="77">
        <f>SUM(D33:D44)</f>
        <v>469</v>
      </c>
      <c r="E46" s="77">
        <f>SUM(E33:E44)</f>
        <v>0</v>
      </c>
      <c r="F46" s="77">
        <f aca="true" t="shared" si="0" ref="F46:Z46">SUM(F33:F44)</f>
        <v>73</v>
      </c>
      <c r="G46" s="77">
        <f>SUM(G33:G44)</f>
        <v>0</v>
      </c>
      <c r="H46" s="77">
        <f t="shared" si="0"/>
        <v>0</v>
      </c>
      <c r="I46" s="77">
        <f t="shared" si="0"/>
        <v>0</v>
      </c>
      <c r="J46" s="78">
        <f>SUM(J33:J44)</f>
        <v>1</v>
      </c>
      <c r="K46" s="77">
        <f t="shared" si="0"/>
        <v>0</v>
      </c>
      <c r="L46" s="77">
        <f t="shared" si="0"/>
        <v>75</v>
      </c>
      <c r="M46" s="77">
        <f t="shared" si="0"/>
        <v>2</v>
      </c>
      <c r="N46" s="77">
        <f t="shared" si="0"/>
        <v>79</v>
      </c>
      <c r="O46" s="77">
        <f t="shared" si="0"/>
        <v>0</v>
      </c>
      <c r="P46" s="77">
        <f t="shared" si="0"/>
        <v>7</v>
      </c>
      <c r="Q46" s="77">
        <f t="shared" si="0"/>
        <v>2</v>
      </c>
      <c r="R46" s="77">
        <f t="shared" si="0"/>
        <v>27</v>
      </c>
      <c r="S46" s="76">
        <f t="shared" si="0"/>
        <v>0</v>
      </c>
      <c r="T46" s="77">
        <f t="shared" si="0"/>
        <v>53</v>
      </c>
      <c r="U46" s="77">
        <f t="shared" si="0"/>
        <v>0</v>
      </c>
      <c r="V46" s="77">
        <f t="shared" si="0"/>
        <v>10</v>
      </c>
      <c r="W46" s="77">
        <f t="shared" si="0"/>
        <v>1</v>
      </c>
      <c r="X46" s="77">
        <f t="shared" si="0"/>
        <v>28</v>
      </c>
      <c r="Y46" s="77">
        <f t="shared" si="0"/>
        <v>1</v>
      </c>
      <c r="Z46" s="79">
        <f t="shared" si="0"/>
        <v>116</v>
      </c>
    </row>
    <row r="47" spans="1:26" s="5" customFormat="1" ht="16.5" customHeight="1">
      <c r="A47" s="97" t="str">
        <f>"前年"&amp;COUNTA(E33:E44)&amp;"月迄"</f>
        <v>前年12月迄</v>
      </c>
      <c r="B47" s="98"/>
      <c r="C47" s="80">
        <f ca="1">SUM(C21:(INDIRECT("c"&amp;COUNT($E33:$E44)+20)))</f>
        <v>6</v>
      </c>
      <c r="D47" s="80">
        <f ca="1">SUM(D21:(INDIRECT("d"&amp;COUNT($E33:$E44)+20)))</f>
        <v>442</v>
      </c>
      <c r="E47" s="80">
        <f ca="1">SUM(E21:(INDIRECT("e"&amp;COUNT($E33:$E44)+20)))</f>
        <v>0</v>
      </c>
      <c r="F47" s="80">
        <f ca="1">SUM(F21:(INDIRECT("f"&amp;COUNT($E33:$E44)+20)))</f>
        <v>91</v>
      </c>
      <c r="G47" s="80">
        <f ca="1">SUM(G21:(INDIRECT("ｇ"&amp;COUNT($E33:$E44)+20)))</f>
        <v>0</v>
      </c>
      <c r="H47" s="80">
        <f ca="1">SUM(H21:(INDIRECT("ｈ"&amp;COUNT($E33:$E44)+20)))</f>
        <v>0</v>
      </c>
      <c r="I47" s="80">
        <f ca="1">SUM(I21:(INDIRECT("i"&amp;COUNT($E33:$E44)+20)))</f>
        <v>0</v>
      </c>
      <c r="J47" s="80">
        <f ca="1">SUM(J21:(INDIRECT("j"&amp;COUNT($E33:$E44)+20)))</f>
        <v>2</v>
      </c>
      <c r="K47" s="80">
        <f ca="1">SUM(K21:(INDIRECT("k"&amp;COUNT($E33:$E44)+20)))</f>
        <v>2</v>
      </c>
      <c r="L47" s="80">
        <f ca="1">SUM(L21:(INDIRECT("l"&amp;COUNT($E33:$E44)+20)))</f>
        <v>58</v>
      </c>
      <c r="M47" s="80">
        <f ca="1">SUM(M21:(INDIRECT("m"&amp;COUNT($E33:$E44)+20)))</f>
        <v>0</v>
      </c>
      <c r="N47" s="80">
        <f ca="1">SUM(N21:(INDIRECT("n"&amp;COUNT($E33:$E44)+20)))</f>
        <v>55</v>
      </c>
      <c r="O47" s="80">
        <f ca="1">SUM(O21:(INDIRECT("o"&amp;COUNT($E33:$E44)+20)))</f>
        <v>0</v>
      </c>
      <c r="P47" s="80">
        <f ca="1">SUM(P21:(INDIRECT("p"&amp;COUNT($E33:$E44)+20)))</f>
        <v>9</v>
      </c>
      <c r="Q47" s="80">
        <f ca="1">SUM(Q21:(INDIRECT("q"&amp;COUNT($E33:$E44)+20)))</f>
        <v>1</v>
      </c>
      <c r="R47" s="80">
        <f ca="1">SUM(R21:(INDIRECT("r"&amp;COUNT($E33:$E44)+20)))</f>
        <v>31</v>
      </c>
      <c r="S47" s="80">
        <f ca="1">SUM(S21:(INDIRECT("s"&amp;COUNT($E33:$E44)+20)))</f>
        <v>0</v>
      </c>
      <c r="T47" s="80">
        <f ca="1">SUM(T21:(INDIRECT("t"&amp;COUNT($E33:$E44)+20)))</f>
        <v>55</v>
      </c>
      <c r="U47" s="80">
        <f ca="1">SUM(U21:(INDIRECT("u"&amp;COUNT($E33:$E44)+20)))</f>
        <v>2</v>
      </c>
      <c r="V47" s="80">
        <f ca="1">SUM(V21:(INDIRECT("v"&amp;COUNT($E33:$E44)+20)))</f>
        <v>23</v>
      </c>
      <c r="W47" s="80">
        <f ca="1">SUM(W21:(INDIRECT("w"&amp;COUNT($E33:$E44)+20)))</f>
        <v>0</v>
      </c>
      <c r="X47" s="80">
        <f ca="1">SUM(X21:(INDIRECT("x"&amp;COUNT($E33:$E44)+20)))</f>
        <v>22</v>
      </c>
      <c r="Y47" s="80">
        <f ca="1">SUM(Y21:(INDIRECT("y"&amp;COUNT($E33:$E44)+20)))</f>
        <v>1</v>
      </c>
      <c r="Z47" s="81">
        <f ca="1">SUM(Z21:(INDIRECT("z"&amp;COUNT($E33:$E44)+20)))</f>
        <v>96</v>
      </c>
    </row>
    <row r="48" spans="1:26" s="5" customFormat="1" ht="16.5" customHeight="1" thickBot="1">
      <c r="A48" s="99" t="s">
        <v>36</v>
      </c>
      <c r="B48" s="100"/>
      <c r="C48" s="82">
        <f>C46-C47</f>
        <v>0</v>
      </c>
      <c r="D48" s="62">
        <f aca="true" t="shared" si="1" ref="D48:Z48">D46-D47</f>
        <v>27</v>
      </c>
      <c r="E48" s="62">
        <f t="shared" si="1"/>
        <v>0</v>
      </c>
      <c r="F48" s="62">
        <f t="shared" si="1"/>
        <v>-18</v>
      </c>
      <c r="G48" s="62">
        <f t="shared" si="1"/>
        <v>0</v>
      </c>
      <c r="H48" s="62">
        <f t="shared" si="1"/>
        <v>0</v>
      </c>
      <c r="I48" s="62">
        <f t="shared" si="1"/>
        <v>0</v>
      </c>
      <c r="J48" s="66">
        <f t="shared" si="1"/>
        <v>-1</v>
      </c>
      <c r="K48" s="62">
        <f t="shared" si="1"/>
        <v>-2</v>
      </c>
      <c r="L48" s="62">
        <f t="shared" si="1"/>
        <v>17</v>
      </c>
      <c r="M48" s="62">
        <f t="shared" si="1"/>
        <v>2</v>
      </c>
      <c r="N48" s="62">
        <f t="shared" si="1"/>
        <v>24</v>
      </c>
      <c r="O48" s="62">
        <f t="shared" si="1"/>
        <v>0</v>
      </c>
      <c r="P48" s="62">
        <f t="shared" si="1"/>
        <v>-2</v>
      </c>
      <c r="Q48" s="62">
        <f t="shared" si="1"/>
        <v>1</v>
      </c>
      <c r="R48" s="62">
        <f t="shared" si="1"/>
        <v>-4</v>
      </c>
      <c r="S48" s="82">
        <f t="shared" si="1"/>
        <v>0</v>
      </c>
      <c r="T48" s="62">
        <f t="shared" si="1"/>
        <v>-2</v>
      </c>
      <c r="U48" s="62">
        <f t="shared" si="1"/>
        <v>-2</v>
      </c>
      <c r="V48" s="62">
        <f t="shared" si="1"/>
        <v>-13</v>
      </c>
      <c r="W48" s="62">
        <f t="shared" si="1"/>
        <v>1</v>
      </c>
      <c r="X48" s="62">
        <f t="shared" si="1"/>
        <v>6</v>
      </c>
      <c r="Y48" s="62">
        <f t="shared" si="1"/>
        <v>0</v>
      </c>
      <c r="Z48" s="63">
        <f t="shared" si="1"/>
        <v>20</v>
      </c>
    </row>
    <row r="49" s="5" customFormat="1" ht="16.5" customHeight="1">
      <c r="A49" s="5" t="s">
        <v>28</v>
      </c>
    </row>
    <row r="50" s="2" customFormat="1" ht="16.5" customHeight="1">
      <c r="A50" s="5" t="s">
        <v>38</v>
      </c>
    </row>
    <row r="51" s="5" customFormat="1" ht="16.5" customHeight="1">
      <c r="A51" s="5" t="s">
        <v>30</v>
      </c>
    </row>
    <row r="52" s="5" customFormat="1" ht="16.5" customHeight="1">
      <c r="B52" s="5" t="s">
        <v>31</v>
      </c>
    </row>
    <row r="53" s="5" customFormat="1" ht="16.5" customHeight="1">
      <c r="B53" s="5" t="s">
        <v>32</v>
      </c>
    </row>
    <row r="54" s="5" customFormat="1" ht="16.5" customHeight="1">
      <c r="B54" s="5" t="s">
        <v>33</v>
      </c>
    </row>
    <row r="55" s="5" customFormat="1" ht="16.5" customHeight="1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</sheetData>
  <sheetProtection/>
  <mergeCells count="16">
    <mergeCell ref="A4:B5"/>
    <mergeCell ref="C4:D4"/>
    <mergeCell ref="E4:F4"/>
    <mergeCell ref="G4:H4"/>
    <mergeCell ref="I4:J4"/>
    <mergeCell ref="K4:L4"/>
    <mergeCell ref="Y4:Z4"/>
    <mergeCell ref="A46:B46"/>
    <mergeCell ref="A47:B47"/>
    <mergeCell ref="A48:B48"/>
    <mergeCell ref="M4:N4"/>
    <mergeCell ref="O4:P4"/>
    <mergeCell ref="Q4:R4"/>
    <mergeCell ref="S4:T4"/>
    <mergeCell ref="U4:V4"/>
    <mergeCell ref="W4:X4"/>
  </mergeCells>
  <conditionalFormatting sqref="C46:Z48">
    <cfRule type="cellIs" priority="1" dxfId="18" operator="lessThan" stopIfTrue="1">
      <formula>0</formula>
    </cfRule>
    <cfRule type="cellIs" priority="2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74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>
      <c r="A13" s="8" t="s">
        <v>47</v>
      </c>
      <c r="B13" s="14" t="s">
        <v>1</v>
      </c>
      <c r="C13" s="19">
        <v>6</v>
      </c>
      <c r="D13" s="25">
        <v>470</v>
      </c>
      <c r="E13" s="43">
        <v>0</v>
      </c>
      <c r="F13" s="29">
        <v>117</v>
      </c>
      <c r="G13" s="19">
        <v>0</v>
      </c>
      <c r="H13" s="25">
        <v>0</v>
      </c>
      <c r="I13" s="19">
        <v>0</v>
      </c>
      <c r="J13" s="25">
        <v>1</v>
      </c>
      <c r="K13" s="19">
        <v>2</v>
      </c>
      <c r="L13" s="25">
        <v>65</v>
      </c>
      <c r="M13" s="19">
        <v>1</v>
      </c>
      <c r="N13" s="25">
        <v>52</v>
      </c>
      <c r="O13" s="19">
        <v>1</v>
      </c>
      <c r="P13" s="25">
        <v>12</v>
      </c>
      <c r="Q13" s="19">
        <v>1</v>
      </c>
      <c r="R13" s="25">
        <v>73</v>
      </c>
      <c r="S13" s="19">
        <v>1</v>
      </c>
      <c r="T13" s="25">
        <v>33</v>
      </c>
      <c r="U13" s="19">
        <v>0</v>
      </c>
      <c r="V13" s="29">
        <v>11</v>
      </c>
      <c r="W13" s="19">
        <v>0</v>
      </c>
      <c r="X13" s="25">
        <v>15</v>
      </c>
      <c r="Y13" s="19">
        <v>0</v>
      </c>
      <c r="Z13" s="29">
        <v>91</v>
      </c>
    </row>
    <row r="14" spans="1:26" s="14" customFormat="1" ht="18.75" customHeight="1">
      <c r="A14" s="8" t="s">
        <v>48</v>
      </c>
      <c r="B14" s="14" t="s">
        <v>1</v>
      </c>
      <c r="C14" s="19">
        <v>7</v>
      </c>
      <c r="D14" s="25">
        <v>502</v>
      </c>
      <c r="E14" s="43">
        <v>2</v>
      </c>
      <c r="F14" s="29">
        <v>119</v>
      </c>
      <c r="G14" s="19">
        <v>0</v>
      </c>
      <c r="H14" s="25">
        <v>0</v>
      </c>
      <c r="I14" s="19">
        <v>0</v>
      </c>
      <c r="J14" s="25">
        <v>2</v>
      </c>
      <c r="K14" s="19">
        <v>1</v>
      </c>
      <c r="L14" s="25">
        <v>87</v>
      </c>
      <c r="M14" s="19">
        <v>1</v>
      </c>
      <c r="N14" s="25">
        <v>54</v>
      </c>
      <c r="O14" s="19">
        <v>0</v>
      </c>
      <c r="P14" s="25">
        <v>8</v>
      </c>
      <c r="Q14" s="19">
        <v>2</v>
      </c>
      <c r="R14" s="25">
        <v>70</v>
      </c>
      <c r="S14" s="19">
        <v>0</v>
      </c>
      <c r="T14" s="25">
        <v>43</v>
      </c>
      <c r="U14" s="19">
        <v>0</v>
      </c>
      <c r="V14" s="29">
        <v>10</v>
      </c>
      <c r="W14" s="19">
        <v>0</v>
      </c>
      <c r="X14" s="25">
        <v>17</v>
      </c>
      <c r="Y14" s="19">
        <v>1</v>
      </c>
      <c r="Z14" s="29">
        <v>92</v>
      </c>
    </row>
    <row r="15" spans="1:26" s="14" customFormat="1" ht="18.75" customHeight="1">
      <c r="A15" s="8" t="s">
        <v>49</v>
      </c>
      <c r="B15" s="14" t="s">
        <v>1</v>
      </c>
      <c r="C15" s="19">
        <v>7</v>
      </c>
      <c r="D15" s="25">
        <v>549</v>
      </c>
      <c r="E15" s="43">
        <v>1</v>
      </c>
      <c r="F15" s="29">
        <v>135</v>
      </c>
      <c r="G15" s="19">
        <v>0</v>
      </c>
      <c r="H15" s="25">
        <v>1</v>
      </c>
      <c r="I15" s="19">
        <v>0</v>
      </c>
      <c r="J15" s="25">
        <v>1</v>
      </c>
      <c r="K15" s="19">
        <v>2</v>
      </c>
      <c r="L15" s="25">
        <v>82</v>
      </c>
      <c r="M15" s="19">
        <v>0</v>
      </c>
      <c r="N15" s="25">
        <v>65</v>
      </c>
      <c r="O15" s="19">
        <v>0</v>
      </c>
      <c r="P15" s="25">
        <v>13</v>
      </c>
      <c r="Q15" s="19">
        <v>1</v>
      </c>
      <c r="R15" s="25">
        <v>53</v>
      </c>
      <c r="S15" s="19">
        <v>1</v>
      </c>
      <c r="T15" s="25">
        <v>50</v>
      </c>
      <c r="U15" s="19">
        <v>0</v>
      </c>
      <c r="V15" s="29">
        <v>25</v>
      </c>
      <c r="W15" s="19">
        <v>1</v>
      </c>
      <c r="X15" s="25">
        <v>26</v>
      </c>
      <c r="Y15" s="19">
        <v>1</v>
      </c>
      <c r="Z15" s="29">
        <v>98</v>
      </c>
    </row>
    <row r="16" spans="1:26" s="14" customFormat="1" ht="18.75" customHeight="1">
      <c r="A16" s="8" t="s">
        <v>50</v>
      </c>
      <c r="B16" s="14" t="s">
        <v>1</v>
      </c>
      <c r="C16" s="19">
        <v>7</v>
      </c>
      <c r="D16" s="25">
        <v>538</v>
      </c>
      <c r="E16" s="43">
        <v>0</v>
      </c>
      <c r="F16" s="29">
        <v>124</v>
      </c>
      <c r="G16" s="19">
        <v>0</v>
      </c>
      <c r="H16" s="25">
        <v>0</v>
      </c>
      <c r="I16" s="19">
        <v>0</v>
      </c>
      <c r="J16" s="25">
        <v>3</v>
      </c>
      <c r="K16" s="19">
        <v>2</v>
      </c>
      <c r="L16" s="25">
        <v>93</v>
      </c>
      <c r="M16" s="19">
        <v>1</v>
      </c>
      <c r="N16" s="25">
        <v>64</v>
      </c>
      <c r="O16" s="19">
        <v>2</v>
      </c>
      <c r="P16" s="25">
        <v>7</v>
      </c>
      <c r="Q16" s="19">
        <v>0</v>
      </c>
      <c r="R16" s="25">
        <v>64</v>
      </c>
      <c r="S16" s="19">
        <v>0</v>
      </c>
      <c r="T16" s="25">
        <v>47</v>
      </c>
      <c r="U16" s="19">
        <v>1</v>
      </c>
      <c r="V16" s="29">
        <v>21</v>
      </c>
      <c r="W16" s="19">
        <v>0</v>
      </c>
      <c r="X16" s="25">
        <v>25</v>
      </c>
      <c r="Y16" s="19">
        <v>1</v>
      </c>
      <c r="Z16" s="29">
        <v>90</v>
      </c>
    </row>
    <row r="17" spans="1:26" s="14" customFormat="1" ht="18.75" customHeight="1">
      <c r="A17" s="8" t="s">
        <v>51</v>
      </c>
      <c r="B17" s="14" t="s">
        <v>1</v>
      </c>
      <c r="C17" s="19">
        <v>5</v>
      </c>
      <c r="D17" s="25">
        <v>508</v>
      </c>
      <c r="E17" s="43">
        <v>0</v>
      </c>
      <c r="F17" s="29">
        <v>130</v>
      </c>
      <c r="G17" s="19">
        <v>0</v>
      </c>
      <c r="H17" s="25">
        <v>0</v>
      </c>
      <c r="I17" s="19">
        <v>0</v>
      </c>
      <c r="J17" s="25">
        <v>1</v>
      </c>
      <c r="K17" s="19">
        <v>3</v>
      </c>
      <c r="L17" s="25">
        <v>76</v>
      </c>
      <c r="M17" s="19">
        <v>2</v>
      </c>
      <c r="N17" s="25">
        <v>69</v>
      </c>
      <c r="O17" s="19">
        <v>0</v>
      </c>
      <c r="P17" s="25">
        <v>10</v>
      </c>
      <c r="Q17" s="19">
        <v>0</v>
      </c>
      <c r="R17" s="25">
        <v>72</v>
      </c>
      <c r="S17" s="19">
        <v>0</v>
      </c>
      <c r="T17" s="25">
        <v>36</v>
      </c>
      <c r="U17" s="19">
        <v>0</v>
      </c>
      <c r="V17" s="29">
        <v>14</v>
      </c>
      <c r="W17" s="19">
        <v>0</v>
      </c>
      <c r="X17" s="25">
        <v>21</v>
      </c>
      <c r="Y17" s="19">
        <v>0</v>
      </c>
      <c r="Z17" s="29">
        <v>79</v>
      </c>
    </row>
    <row r="18" spans="1:26" s="14" customFormat="1" ht="18.75" customHeight="1">
      <c r="A18" s="8" t="s">
        <v>52</v>
      </c>
      <c r="B18" s="14" t="s">
        <v>1</v>
      </c>
      <c r="C18" s="19">
        <v>7</v>
      </c>
      <c r="D18" s="25">
        <v>474</v>
      </c>
      <c r="E18" s="43">
        <v>0</v>
      </c>
      <c r="F18" s="27">
        <v>109</v>
      </c>
      <c r="G18" s="28">
        <v>0</v>
      </c>
      <c r="H18" s="25">
        <v>0</v>
      </c>
      <c r="I18" s="19">
        <v>0</v>
      </c>
      <c r="J18" s="25">
        <v>5</v>
      </c>
      <c r="K18" s="19">
        <v>1</v>
      </c>
      <c r="L18" s="25">
        <v>64</v>
      </c>
      <c r="M18" s="19">
        <v>1</v>
      </c>
      <c r="N18" s="29">
        <v>66</v>
      </c>
      <c r="O18" s="28">
        <v>0</v>
      </c>
      <c r="P18" s="25">
        <v>6</v>
      </c>
      <c r="Q18" s="26">
        <v>3</v>
      </c>
      <c r="R18" s="28">
        <v>52</v>
      </c>
      <c r="S18" s="19">
        <v>0</v>
      </c>
      <c r="T18" s="25">
        <v>53</v>
      </c>
      <c r="U18" s="19">
        <v>0</v>
      </c>
      <c r="V18" s="29">
        <v>22</v>
      </c>
      <c r="W18" s="26">
        <v>0</v>
      </c>
      <c r="X18" s="27">
        <v>18</v>
      </c>
      <c r="Y18" s="28">
        <v>2</v>
      </c>
      <c r="Z18" s="29">
        <v>79</v>
      </c>
    </row>
    <row r="19" spans="1:26" s="14" customFormat="1" ht="18.75" customHeight="1" thickBot="1">
      <c r="A19" s="8" t="s">
        <v>54</v>
      </c>
      <c r="B19" s="14" t="s">
        <v>1</v>
      </c>
      <c r="C19" s="19">
        <v>5</v>
      </c>
      <c r="D19" s="25">
        <v>498</v>
      </c>
      <c r="E19" s="43">
        <v>1</v>
      </c>
      <c r="F19" s="27">
        <v>101</v>
      </c>
      <c r="G19" s="28">
        <v>0</v>
      </c>
      <c r="H19" s="25">
        <v>3</v>
      </c>
      <c r="I19" s="85">
        <v>0</v>
      </c>
      <c r="J19" s="40">
        <v>1</v>
      </c>
      <c r="K19" s="28">
        <v>1</v>
      </c>
      <c r="L19" s="25">
        <v>71</v>
      </c>
      <c r="M19" s="85">
        <v>2</v>
      </c>
      <c r="N19" s="84">
        <v>57</v>
      </c>
      <c r="O19" s="28">
        <v>1</v>
      </c>
      <c r="P19" s="25">
        <v>11</v>
      </c>
      <c r="Q19" s="85">
        <v>0</v>
      </c>
      <c r="R19" s="28">
        <v>36</v>
      </c>
      <c r="S19" s="85">
        <v>0</v>
      </c>
      <c r="T19" s="84">
        <v>70</v>
      </c>
      <c r="U19" s="28">
        <v>0</v>
      </c>
      <c r="V19" s="29">
        <v>17</v>
      </c>
      <c r="W19" s="85">
        <v>0</v>
      </c>
      <c r="X19" s="84">
        <v>22</v>
      </c>
      <c r="Y19" s="28">
        <v>0</v>
      </c>
      <c r="Z19" s="29">
        <v>110</v>
      </c>
    </row>
    <row r="20" spans="1:26" s="5" customFormat="1" ht="16.5" customHeight="1" thickTop="1">
      <c r="A20" s="15" t="s">
        <v>54</v>
      </c>
      <c r="B20" s="16" t="s">
        <v>2</v>
      </c>
      <c r="C20" s="20">
        <v>1</v>
      </c>
      <c r="D20" s="30">
        <v>48</v>
      </c>
      <c r="E20" s="45">
        <v>0</v>
      </c>
      <c r="F20" s="32">
        <v>9</v>
      </c>
      <c r="G20" s="33">
        <v>0</v>
      </c>
      <c r="H20" s="30">
        <v>0</v>
      </c>
      <c r="I20" s="31">
        <v>0</v>
      </c>
      <c r="J20" s="32">
        <v>0</v>
      </c>
      <c r="K20" s="33">
        <v>0</v>
      </c>
      <c r="L20" s="30">
        <v>5</v>
      </c>
      <c r="M20" s="31">
        <v>0</v>
      </c>
      <c r="N20" s="32">
        <v>5</v>
      </c>
      <c r="O20" s="33">
        <v>1</v>
      </c>
      <c r="P20" s="30">
        <v>1</v>
      </c>
      <c r="Q20" s="31">
        <v>0</v>
      </c>
      <c r="R20" s="32">
        <v>4</v>
      </c>
      <c r="S20" s="20">
        <v>0</v>
      </c>
      <c r="T20" s="34">
        <v>4</v>
      </c>
      <c r="U20" s="33">
        <v>0</v>
      </c>
      <c r="V20" s="34">
        <v>3</v>
      </c>
      <c r="W20" s="31">
        <v>0</v>
      </c>
      <c r="X20" s="32">
        <v>2</v>
      </c>
      <c r="Y20" s="33">
        <v>0</v>
      </c>
      <c r="Z20" s="34">
        <v>16</v>
      </c>
    </row>
    <row r="21" spans="1:26" s="5" customFormat="1" ht="16.5" customHeight="1">
      <c r="A21" s="8"/>
      <c r="B21" s="9" t="s">
        <v>3</v>
      </c>
      <c r="C21" s="19">
        <v>0</v>
      </c>
      <c r="D21" s="25">
        <v>53</v>
      </c>
      <c r="E21" s="43">
        <v>0</v>
      </c>
      <c r="F21" s="27">
        <v>12</v>
      </c>
      <c r="G21" s="28">
        <v>0</v>
      </c>
      <c r="H21" s="25">
        <v>0</v>
      </c>
      <c r="I21" s="26">
        <v>0</v>
      </c>
      <c r="J21" s="27">
        <v>0</v>
      </c>
      <c r="K21" s="28">
        <v>0</v>
      </c>
      <c r="L21" s="25">
        <v>9</v>
      </c>
      <c r="M21" s="26">
        <v>0</v>
      </c>
      <c r="N21" s="27">
        <v>5</v>
      </c>
      <c r="O21" s="28">
        <v>0</v>
      </c>
      <c r="P21" s="25">
        <v>1</v>
      </c>
      <c r="Q21" s="26">
        <v>0</v>
      </c>
      <c r="R21" s="27">
        <v>3</v>
      </c>
      <c r="S21" s="19">
        <v>0</v>
      </c>
      <c r="T21" s="29">
        <v>12</v>
      </c>
      <c r="U21" s="28">
        <v>0</v>
      </c>
      <c r="V21" s="29">
        <v>0</v>
      </c>
      <c r="W21" s="26">
        <v>0</v>
      </c>
      <c r="X21" s="27">
        <v>1</v>
      </c>
      <c r="Y21" s="28">
        <v>0</v>
      </c>
      <c r="Z21" s="29">
        <v>10</v>
      </c>
    </row>
    <row r="22" spans="1:26" s="5" customFormat="1" ht="16.5" customHeight="1">
      <c r="A22" s="8"/>
      <c r="B22" s="9" t="s">
        <v>4</v>
      </c>
      <c r="C22" s="19">
        <v>2</v>
      </c>
      <c r="D22" s="25">
        <v>33</v>
      </c>
      <c r="E22" s="43">
        <v>0</v>
      </c>
      <c r="F22" s="27">
        <v>10</v>
      </c>
      <c r="G22" s="28">
        <v>0</v>
      </c>
      <c r="H22" s="25">
        <v>0</v>
      </c>
      <c r="I22" s="26">
        <v>0</v>
      </c>
      <c r="J22" s="27">
        <v>0</v>
      </c>
      <c r="K22" s="28">
        <v>0</v>
      </c>
      <c r="L22" s="25">
        <v>0</v>
      </c>
      <c r="M22" s="26">
        <v>2</v>
      </c>
      <c r="N22" s="27">
        <v>6</v>
      </c>
      <c r="O22" s="28">
        <v>0</v>
      </c>
      <c r="P22" s="25">
        <v>1</v>
      </c>
      <c r="Q22" s="26">
        <v>0</v>
      </c>
      <c r="R22" s="27">
        <v>3</v>
      </c>
      <c r="S22" s="19">
        <v>0</v>
      </c>
      <c r="T22" s="29">
        <v>5</v>
      </c>
      <c r="U22" s="28">
        <v>0</v>
      </c>
      <c r="V22" s="29">
        <v>1</v>
      </c>
      <c r="W22" s="26">
        <v>0</v>
      </c>
      <c r="X22" s="27">
        <v>2</v>
      </c>
      <c r="Y22" s="28">
        <v>0</v>
      </c>
      <c r="Z22" s="29">
        <v>5</v>
      </c>
    </row>
    <row r="23" spans="1:26" s="5" customFormat="1" ht="16.5" customHeight="1">
      <c r="A23" s="8"/>
      <c r="B23" s="9" t="s">
        <v>5</v>
      </c>
      <c r="C23" s="19">
        <v>0</v>
      </c>
      <c r="D23" s="25">
        <v>42</v>
      </c>
      <c r="E23" s="43">
        <v>0</v>
      </c>
      <c r="F23" s="27">
        <v>5</v>
      </c>
      <c r="G23" s="28">
        <v>0</v>
      </c>
      <c r="H23" s="25">
        <v>2</v>
      </c>
      <c r="I23" s="26">
        <v>0</v>
      </c>
      <c r="J23" s="27">
        <v>0</v>
      </c>
      <c r="K23" s="28">
        <v>0</v>
      </c>
      <c r="L23" s="25">
        <v>4</v>
      </c>
      <c r="M23" s="26">
        <v>0</v>
      </c>
      <c r="N23" s="27">
        <v>4</v>
      </c>
      <c r="O23" s="28">
        <v>0</v>
      </c>
      <c r="P23" s="25">
        <v>1</v>
      </c>
      <c r="Q23" s="26">
        <v>0</v>
      </c>
      <c r="R23" s="27">
        <v>6</v>
      </c>
      <c r="S23" s="19">
        <v>0</v>
      </c>
      <c r="T23" s="29">
        <v>6</v>
      </c>
      <c r="U23" s="28">
        <v>0</v>
      </c>
      <c r="V23" s="29">
        <v>2</v>
      </c>
      <c r="W23" s="26">
        <v>0</v>
      </c>
      <c r="X23" s="27">
        <v>1</v>
      </c>
      <c r="Y23" s="28">
        <v>0</v>
      </c>
      <c r="Z23" s="29">
        <v>11</v>
      </c>
    </row>
    <row r="24" spans="1:26" s="5" customFormat="1" ht="16.5" customHeight="1">
      <c r="A24" s="8"/>
      <c r="B24" s="9" t="s">
        <v>6</v>
      </c>
      <c r="C24" s="19">
        <v>1</v>
      </c>
      <c r="D24" s="25">
        <v>44</v>
      </c>
      <c r="E24" s="43">
        <v>1</v>
      </c>
      <c r="F24" s="27">
        <v>10</v>
      </c>
      <c r="G24" s="28">
        <v>0</v>
      </c>
      <c r="H24" s="25">
        <v>0</v>
      </c>
      <c r="I24" s="26">
        <v>0</v>
      </c>
      <c r="J24" s="27">
        <v>0</v>
      </c>
      <c r="K24" s="28">
        <v>0</v>
      </c>
      <c r="L24" s="25">
        <v>7</v>
      </c>
      <c r="M24" s="26">
        <v>0</v>
      </c>
      <c r="N24" s="27">
        <v>1</v>
      </c>
      <c r="O24" s="28">
        <v>0</v>
      </c>
      <c r="P24" s="25">
        <v>0</v>
      </c>
      <c r="Q24" s="26">
        <v>0</v>
      </c>
      <c r="R24" s="27">
        <v>2</v>
      </c>
      <c r="S24" s="19">
        <v>0</v>
      </c>
      <c r="T24" s="29">
        <v>7</v>
      </c>
      <c r="U24" s="28">
        <v>0</v>
      </c>
      <c r="V24" s="29">
        <v>1</v>
      </c>
      <c r="W24" s="26">
        <v>0</v>
      </c>
      <c r="X24" s="27">
        <v>3</v>
      </c>
      <c r="Y24" s="28">
        <v>0</v>
      </c>
      <c r="Z24" s="29">
        <v>13</v>
      </c>
    </row>
    <row r="25" spans="1:26" s="61" customFormat="1" ht="16.5" customHeight="1">
      <c r="A25" s="52"/>
      <c r="B25" s="53" t="s">
        <v>7</v>
      </c>
      <c r="C25" s="54">
        <v>0</v>
      </c>
      <c r="D25" s="55">
        <v>31</v>
      </c>
      <c r="E25" s="56">
        <v>0</v>
      </c>
      <c r="F25" s="57">
        <v>4</v>
      </c>
      <c r="G25" s="58">
        <v>0</v>
      </c>
      <c r="H25" s="55">
        <v>0</v>
      </c>
      <c r="I25" s="59">
        <v>0</v>
      </c>
      <c r="J25" s="57">
        <v>0</v>
      </c>
      <c r="K25" s="58">
        <v>0</v>
      </c>
      <c r="L25" s="55">
        <v>2</v>
      </c>
      <c r="M25" s="59">
        <v>0</v>
      </c>
      <c r="N25" s="57">
        <v>7</v>
      </c>
      <c r="O25" s="58">
        <v>0</v>
      </c>
      <c r="P25" s="55">
        <v>1</v>
      </c>
      <c r="Q25" s="59">
        <v>0</v>
      </c>
      <c r="R25" s="57">
        <v>3</v>
      </c>
      <c r="S25" s="54">
        <v>0</v>
      </c>
      <c r="T25" s="60">
        <v>2</v>
      </c>
      <c r="U25" s="58">
        <v>0</v>
      </c>
      <c r="V25" s="60">
        <v>2</v>
      </c>
      <c r="W25" s="59">
        <v>0</v>
      </c>
      <c r="X25" s="57">
        <v>4</v>
      </c>
      <c r="Y25" s="58">
        <v>0</v>
      </c>
      <c r="Z25" s="60">
        <v>6</v>
      </c>
    </row>
    <row r="26" spans="1:26" s="61" customFormat="1" ht="16.5" customHeight="1">
      <c r="A26" s="52"/>
      <c r="B26" s="53" t="s">
        <v>8</v>
      </c>
      <c r="C26" s="54">
        <v>0</v>
      </c>
      <c r="D26" s="55">
        <v>43</v>
      </c>
      <c r="E26" s="56">
        <v>0</v>
      </c>
      <c r="F26" s="57">
        <v>7</v>
      </c>
      <c r="G26" s="58">
        <v>0</v>
      </c>
      <c r="H26" s="55">
        <v>0</v>
      </c>
      <c r="I26" s="59">
        <v>0</v>
      </c>
      <c r="J26" s="57">
        <v>0</v>
      </c>
      <c r="K26" s="58">
        <v>0</v>
      </c>
      <c r="L26" s="55">
        <v>9</v>
      </c>
      <c r="M26" s="59">
        <v>0</v>
      </c>
      <c r="N26" s="57">
        <v>3</v>
      </c>
      <c r="O26" s="58">
        <v>0</v>
      </c>
      <c r="P26" s="55">
        <v>3</v>
      </c>
      <c r="Q26" s="59">
        <v>0</v>
      </c>
      <c r="R26" s="57">
        <v>3</v>
      </c>
      <c r="S26" s="54">
        <v>0</v>
      </c>
      <c r="T26" s="60">
        <v>9</v>
      </c>
      <c r="U26" s="58">
        <v>0</v>
      </c>
      <c r="V26" s="60">
        <v>0</v>
      </c>
      <c r="W26" s="59">
        <v>0</v>
      </c>
      <c r="X26" s="57">
        <v>0</v>
      </c>
      <c r="Y26" s="58">
        <v>0</v>
      </c>
      <c r="Z26" s="60">
        <v>9</v>
      </c>
    </row>
    <row r="27" spans="1:26" s="5" customFormat="1" ht="16.5" customHeight="1">
      <c r="A27" s="8"/>
      <c r="B27" s="9" t="s">
        <v>9</v>
      </c>
      <c r="C27" s="19">
        <v>0</v>
      </c>
      <c r="D27" s="25">
        <v>46</v>
      </c>
      <c r="E27" s="43">
        <v>0</v>
      </c>
      <c r="F27" s="27">
        <v>9</v>
      </c>
      <c r="G27" s="28">
        <v>0</v>
      </c>
      <c r="H27" s="25">
        <v>0</v>
      </c>
      <c r="I27" s="26">
        <v>0</v>
      </c>
      <c r="J27" s="27">
        <v>0</v>
      </c>
      <c r="K27" s="28">
        <v>0</v>
      </c>
      <c r="L27" s="25">
        <v>6</v>
      </c>
      <c r="M27" s="26">
        <v>0</v>
      </c>
      <c r="N27" s="27">
        <v>4</v>
      </c>
      <c r="O27" s="28">
        <v>0</v>
      </c>
      <c r="P27" s="25">
        <v>1</v>
      </c>
      <c r="Q27" s="26">
        <v>0</v>
      </c>
      <c r="R27" s="27">
        <v>1</v>
      </c>
      <c r="S27" s="19">
        <v>0</v>
      </c>
      <c r="T27" s="29">
        <v>7</v>
      </c>
      <c r="U27" s="28">
        <v>0</v>
      </c>
      <c r="V27" s="29">
        <v>2</v>
      </c>
      <c r="W27" s="26">
        <v>0</v>
      </c>
      <c r="X27" s="27">
        <v>2</v>
      </c>
      <c r="Y27" s="28">
        <v>0</v>
      </c>
      <c r="Z27" s="29">
        <v>14</v>
      </c>
    </row>
    <row r="28" spans="1:26" s="5" customFormat="1" ht="16.5" customHeight="1">
      <c r="A28" s="8"/>
      <c r="B28" s="9" t="s">
        <v>10</v>
      </c>
      <c r="C28" s="19">
        <v>0</v>
      </c>
      <c r="D28" s="25">
        <v>26</v>
      </c>
      <c r="E28" s="43">
        <v>0</v>
      </c>
      <c r="F28" s="27">
        <v>9</v>
      </c>
      <c r="G28" s="28">
        <v>0</v>
      </c>
      <c r="H28" s="25">
        <v>0</v>
      </c>
      <c r="I28" s="26">
        <v>0</v>
      </c>
      <c r="J28" s="27">
        <v>0</v>
      </c>
      <c r="K28" s="28">
        <v>0</v>
      </c>
      <c r="L28" s="25">
        <v>5</v>
      </c>
      <c r="M28" s="26">
        <v>0</v>
      </c>
      <c r="N28" s="27">
        <v>2</v>
      </c>
      <c r="O28" s="28">
        <v>0</v>
      </c>
      <c r="P28" s="25">
        <v>0</v>
      </c>
      <c r="Q28" s="26">
        <v>0</v>
      </c>
      <c r="R28" s="27">
        <v>2</v>
      </c>
      <c r="S28" s="19">
        <v>0</v>
      </c>
      <c r="T28" s="29">
        <v>2</v>
      </c>
      <c r="U28" s="28">
        <v>0</v>
      </c>
      <c r="V28" s="29">
        <v>2</v>
      </c>
      <c r="W28" s="26">
        <v>0</v>
      </c>
      <c r="X28" s="27">
        <v>1</v>
      </c>
      <c r="Y28" s="28">
        <v>0</v>
      </c>
      <c r="Z28" s="29">
        <v>3</v>
      </c>
    </row>
    <row r="29" spans="1:26" s="5" customFormat="1" ht="16.5" customHeight="1">
      <c r="A29" s="8"/>
      <c r="B29" s="9" t="s">
        <v>11</v>
      </c>
      <c r="C29" s="19">
        <v>0</v>
      </c>
      <c r="D29" s="25">
        <v>40</v>
      </c>
      <c r="E29" s="43">
        <v>0</v>
      </c>
      <c r="F29" s="27">
        <v>8</v>
      </c>
      <c r="G29" s="28">
        <v>0</v>
      </c>
      <c r="H29" s="25">
        <v>0</v>
      </c>
      <c r="I29" s="26">
        <v>0</v>
      </c>
      <c r="J29" s="27">
        <v>0</v>
      </c>
      <c r="K29" s="28">
        <v>0</v>
      </c>
      <c r="L29" s="25">
        <v>7</v>
      </c>
      <c r="M29" s="26">
        <v>0</v>
      </c>
      <c r="N29" s="27">
        <v>5</v>
      </c>
      <c r="O29" s="28">
        <v>0</v>
      </c>
      <c r="P29" s="25">
        <v>0</v>
      </c>
      <c r="Q29" s="26">
        <v>0</v>
      </c>
      <c r="R29" s="27">
        <v>4</v>
      </c>
      <c r="S29" s="19">
        <v>0</v>
      </c>
      <c r="T29" s="29">
        <v>5</v>
      </c>
      <c r="U29" s="28">
        <v>0</v>
      </c>
      <c r="V29" s="29">
        <v>2</v>
      </c>
      <c r="W29" s="26">
        <v>0</v>
      </c>
      <c r="X29" s="27">
        <v>2</v>
      </c>
      <c r="Y29" s="28">
        <v>0</v>
      </c>
      <c r="Z29" s="29">
        <v>7</v>
      </c>
    </row>
    <row r="30" spans="1:26" s="5" customFormat="1" ht="16.5" customHeight="1">
      <c r="A30" s="8"/>
      <c r="B30" s="9" t="s">
        <v>12</v>
      </c>
      <c r="C30" s="19">
        <v>0</v>
      </c>
      <c r="D30" s="25">
        <v>44</v>
      </c>
      <c r="E30" s="43">
        <v>0</v>
      </c>
      <c r="F30" s="27">
        <v>14</v>
      </c>
      <c r="G30" s="28">
        <v>0</v>
      </c>
      <c r="H30" s="25">
        <v>0</v>
      </c>
      <c r="I30" s="26">
        <v>0</v>
      </c>
      <c r="J30" s="27">
        <v>0</v>
      </c>
      <c r="K30" s="28">
        <v>0</v>
      </c>
      <c r="L30" s="25">
        <v>6</v>
      </c>
      <c r="M30" s="26">
        <v>0</v>
      </c>
      <c r="N30" s="27">
        <v>5</v>
      </c>
      <c r="O30" s="28">
        <v>0</v>
      </c>
      <c r="P30" s="25">
        <v>1</v>
      </c>
      <c r="Q30" s="26">
        <v>0</v>
      </c>
      <c r="R30" s="27">
        <v>4</v>
      </c>
      <c r="S30" s="19">
        <v>0</v>
      </c>
      <c r="T30" s="29">
        <v>4</v>
      </c>
      <c r="U30" s="28">
        <v>0</v>
      </c>
      <c r="V30" s="29">
        <v>2</v>
      </c>
      <c r="W30" s="26">
        <v>0</v>
      </c>
      <c r="X30" s="27">
        <v>1</v>
      </c>
      <c r="Y30" s="28">
        <v>0</v>
      </c>
      <c r="Z30" s="29">
        <v>7</v>
      </c>
    </row>
    <row r="31" spans="1:26" s="5" customFormat="1" ht="16.5" customHeight="1" thickBot="1">
      <c r="A31" s="10"/>
      <c r="B31" s="11" t="s">
        <v>13</v>
      </c>
      <c r="C31" s="49">
        <v>1</v>
      </c>
      <c r="D31" s="83">
        <v>48</v>
      </c>
      <c r="E31" s="46">
        <v>0</v>
      </c>
      <c r="F31" s="37">
        <v>4</v>
      </c>
      <c r="G31" s="38">
        <v>0</v>
      </c>
      <c r="H31" s="35">
        <v>1</v>
      </c>
      <c r="I31" s="36">
        <v>0</v>
      </c>
      <c r="J31" s="37">
        <v>1</v>
      </c>
      <c r="K31" s="38">
        <v>1</v>
      </c>
      <c r="L31" s="35">
        <v>11</v>
      </c>
      <c r="M31" s="36">
        <v>0</v>
      </c>
      <c r="N31" s="37">
        <v>10</v>
      </c>
      <c r="O31" s="38">
        <v>0</v>
      </c>
      <c r="P31" s="35">
        <v>1</v>
      </c>
      <c r="Q31" s="36">
        <v>0</v>
      </c>
      <c r="R31" s="37">
        <v>1</v>
      </c>
      <c r="S31" s="21">
        <v>0</v>
      </c>
      <c r="T31" s="39">
        <v>7</v>
      </c>
      <c r="U31" s="38">
        <v>0</v>
      </c>
      <c r="V31" s="39">
        <v>0</v>
      </c>
      <c r="W31" s="36">
        <v>0</v>
      </c>
      <c r="X31" s="37">
        <v>3</v>
      </c>
      <c r="Y31" s="38">
        <v>0</v>
      </c>
      <c r="Z31" s="39">
        <v>9</v>
      </c>
    </row>
    <row r="32" spans="1:26" s="5" customFormat="1" ht="16.5" customHeight="1" thickTop="1">
      <c r="A32" s="15" t="s">
        <v>71</v>
      </c>
      <c r="B32" s="16" t="s">
        <v>2</v>
      </c>
      <c r="C32" s="54">
        <v>1</v>
      </c>
      <c r="D32" s="55">
        <v>55</v>
      </c>
      <c r="E32" s="45">
        <v>0</v>
      </c>
      <c r="F32" s="32">
        <v>10</v>
      </c>
      <c r="G32" s="33">
        <v>0</v>
      </c>
      <c r="H32" s="30">
        <v>0</v>
      </c>
      <c r="I32" s="31">
        <v>0</v>
      </c>
      <c r="J32" s="32">
        <v>0</v>
      </c>
      <c r="K32" s="33">
        <v>0</v>
      </c>
      <c r="L32" s="30">
        <v>4</v>
      </c>
      <c r="M32" s="31">
        <v>0</v>
      </c>
      <c r="N32" s="32">
        <v>10</v>
      </c>
      <c r="O32" s="33">
        <v>0</v>
      </c>
      <c r="P32" s="30">
        <v>2</v>
      </c>
      <c r="Q32" s="31">
        <v>0</v>
      </c>
      <c r="R32" s="32">
        <v>3</v>
      </c>
      <c r="S32" s="20">
        <v>0</v>
      </c>
      <c r="T32" s="34">
        <v>6</v>
      </c>
      <c r="U32" s="33">
        <v>0</v>
      </c>
      <c r="V32" s="34">
        <v>3</v>
      </c>
      <c r="W32" s="31">
        <v>0</v>
      </c>
      <c r="X32" s="32">
        <v>0</v>
      </c>
      <c r="Y32" s="33">
        <v>1</v>
      </c>
      <c r="Z32" s="34">
        <v>17</v>
      </c>
    </row>
    <row r="33" spans="1:26" s="5" customFormat="1" ht="16.5" customHeight="1">
      <c r="A33" s="8"/>
      <c r="B33" s="9" t="s">
        <v>3</v>
      </c>
      <c r="C33" s="54">
        <v>1</v>
      </c>
      <c r="D33" s="55">
        <v>43</v>
      </c>
      <c r="E33" s="43">
        <v>0</v>
      </c>
      <c r="F33" s="27">
        <v>10</v>
      </c>
      <c r="G33" s="28">
        <v>0</v>
      </c>
      <c r="H33" s="25">
        <v>0</v>
      </c>
      <c r="I33" s="26">
        <v>0</v>
      </c>
      <c r="J33" s="27">
        <v>0</v>
      </c>
      <c r="K33" s="28">
        <v>1</v>
      </c>
      <c r="L33" s="25">
        <v>1</v>
      </c>
      <c r="M33" s="26">
        <v>0</v>
      </c>
      <c r="N33" s="27">
        <v>7</v>
      </c>
      <c r="O33" s="28">
        <v>0</v>
      </c>
      <c r="P33" s="25">
        <v>2</v>
      </c>
      <c r="Q33" s="26">
        <v>0</v>
      </c>
      <c r="R33" s="27">
        <v>3</v>
      </c>
      <c r="S33" s="19">
        <v>0</v>
      </c>
      <c r="T33" s="29">
        <v>4</v>
      </c>
      <c r="U33" s="28">
        <v>0</v>
      </c>
      <c r="V33" s="29">
        <v>4</v>
      </c>
      <c r="W33" s="26">
        <v>0</v>
      </c>
      <c r="X33" s="27">
        <v>3</v>
      </c>
      <c r="Y33" s="28">
        <v>0</v>
      </c>
      <c r="Z33" s="29">
        <v>9</v>
      </c>
    </row>
    <row r="34" spans="1:26" s="5" customFormat="1" ht="16.5" customHeight="1">
      <c r="A34" s="8"/>
      <c r="B34" s="9" t="s">
        <v>4</v>
      </c>
      <c r="C34" s="54">
        <v>0</v>
      </c>
      <c r="D34" s="55">
        <v>39</v>
      </c>
      <c r="E34" s="43">
        <v>0</v>
      </c>
      <c r="F34" s="27">
        <v>14</v>
      </c>
      <c r="G34" s="28">
        <v>0</v>
      </c>
      <c r="H34" s="25">
        <v>0</v>
      </c>
      <c r="I34" s="26">
        <v>0</v>
      </c>
      <c r="J34" s="27">
        <v>0</v>
      </c>
      <c r="K34" s="28">
        <v>0</v>
      </c>
      <c r="L34" s="25">
        <v>6</v>
      </c>
      <c r="M34" s="26">
        <v>0</v>
      </c>
      <c r="N34" s="27">
        <v>2</v>
      </c>
      <c r="O34" s="28">
        <v>0</v>
      </c>
      <c r="P34" s="25">
        <v>0</v>
      </c>
      <c r="Q34" s="26">
        <v>0</v>
      </c>
      <c r="R34" s="27">
        <v>0</v>
      </c>
      <c r="S34" s="19">
        <v>0</v>
      </c>
      <c r="T34" s="29">
        <v>5</v>
      </c>
      <c r="U34" s="28">
        <v>0</v>
      </c>
      <c r="V34" s="29">
        <v>1</v>
      </c>
      <c r="W34" s="26">
        <v>0</v>
      </c>
      <c r="X34" s="27">
        <v>7</v>
      </c>
      <c r="Y34" s="28">
        <v>0</v>
      </c>
      <c r="Z34" s="29">
        <v>4</v>
      </c>
    </row>
    <row r="35" spans="1:26" s="5" customFormat="1" ht="16.5" customHeight="1">
      <c r="A35" s="8"/>
      <c r="B35" s="9" t="s">
        <v>5</v>
      </c>
      <c r="C35" s="54">
        <v>0</v>
      </c>
      <c r="D35" s="55">
        <v>25</v>
      </c>
      <c r="E35" s="43">
        <v>0</v>
      </c>
      <c r="F35" s="27">
        <v>8</v>
      </c>
      <c r="G35" s="28">
        <v>0</v>
      </c>
      <c r="H35" s="25">
        <v>0</v>
      </c>
      <c r="I35" s="26">
        <v>0</v>
      </c>
      <c r="J35" s="27">
        <v>0</v>
      </c>
      <c r="K35" s="28">
        <v>0</v>
      </c>
      <c r="L35" s="25">
        <v>4</v>
      </c>
      <c r="M35" s="26">
        <v>0</v>
      </c>
      <c r="N35" s="27">
        <v>2</v>
      </c>
      <c r="O35" s="28">
        <v>0</v>
      </c>
      <c r="P35" s="25">
        <v>1</v>
      </c>
      <c r="Q35" s="26">
        <v>0</v>
      </c>
      <c r="R35" s="27">
        <v>1</v>
      </c>
      <c r="S35" s="19">
        <v>0</v>
      </c>
      <c r="T35" s="29">
        <v>4</v>
      </c>
      <c r="U35" s="28">
        <v>0</v>
      </c>
      <c r="V35" s="29">
        <v>1</v>
      </c>
      <c r="W35" s="26">
        <v>0</v>
      </c>
      <c r="X35" s="27">
        <v>0</v>
      </c>
      <c r="Y35" s="28">
        <v>0</v>
      </c>
      <c r="Z35" s="29">
        <v>4</v>
      </c>
    </row>
    <row r="36" spans="1:26" s="5" customFormat="1" ht="16.5" customHeight="1">
      <c r="A36" s="8" t="s">
        <v>72</v>
      </c>
      <c r="B36" s="9" t="s">
        <v>6</v>
      </c>
      <c r="C36" s="54">
        <v>0</v>
      </c>
      <c r="D36" s="55">
        <v>39</v>
      </c>
      <c r="E36" s="43">
        <v>0</v>
      </c>
      <c r="F36" s="27">
        <v>6</v>
      </c>
      <c r="G36" s="28">
        <v>0</v>
      </c>
      <c r="H36" s="25">
        <v>0</v>
      </c>
      <c r="I36" s="26">
        <v>0</v>
      </c>
      <c r="J36" s="27">
        <v>0</v>
      </c>
      <c r="K36" s="28">
        <v>0</v>
      </c>
      <c r="L36" s="25">
        <v>7</v>
      </c>
      <c r="M36" s="26">
        <v>0</v>
      </c>
      <c r="N36" s="27">
        <v>5</v>
      </c>
      <c r="O36" s="28">
        <v>0</v>
      </c>
      <c r="P36" s="25">
        <v>0</v>
      </c>
      <c r="Q36" s="26">
        <v>0</v>
      </c>
      <c r="R36" s="27">
        <v>2</v>
      </c>
      <c r="S36" s="19">
        <v>0</v>
      </c>
      <c r="T36" s="29">
        <v>6</v>
      </c>
      <c r="U36" s="28">
        <v>0</v>
      </c>
      <c r="V36" s="29">
        <v>4</v>
      </c>
      <c r="W36" s="26">
        <v>0</v>
      </c>
      <c r="X36" s="27">
        <v>1</v>
      </c>
      <c r="Y36" s="28">
        <v>0</v>
      </c>
      <c r="Z36" s="29">
        <v>8</v>
      </c>
    </row>
    <row r="37" spans="1:26" s="61" customFormat="1" ht="16.5" customHeight="1">
      <c r="A37" s="52"/>
      <c r="B37" s="53" t="s">
        <v>7</v>
      </c>
      <c r="C37" s="54">
        <v>0</v>
      </c>
      <c r="D37" s="55">
        <v>39</v>
      </c>
      <c r="E37" s="43">
        <v>0</v>
      </c>
      <c r="F37" s="57">
        <v>12</v>
      </c>
      <c r="G37" s="28">
        <v>0</v>
      </c>
      <c r="H37" s="25">
        <v>0</v>
      </c>
      <c r="I37" s="26">
        <v>0</v>
      </c>
      <c r="J37" s="27">
        <v>0</v>
      </c>
      <c r="K37" s="28">
        <v>0</v>
      </c>
      <c r="L37" s="55">
        <v>6</v>
      </c>
      <c r="M37" s="26">
        <v>0</v>
      </c>
      <c r="N37" s="57">
        <v>3</v>
      </c>
      <c r="O37" s="28">
        <v>0</v>
      </c>
      <c r="P37" s="55">
        <v>0</v>
      </c>
      <c r="Q37" s="26">
        <v>0</v>
      </c>
      <c r="R37" s="27">
        <v>1</v>
      </c>
      <c r="S37" s="19">
        <v>0</v>
      </c>
      <c r="T37" s="60">
        <v>4</v>
      </c>
      <c r="U37" s="58">
        <v>0</v>
      </c>
      <c r="V37" s="60">
        <v>3</v>
      </c>
      <c r="W37" s="26">
        <v>0</v>
      </c>
      <c r="X37" s="27">
        <v>3</v>
      </c>
      <c r="Y37" s="28">
        <v>0</v>
      </c>
      <c r="Z37" s="60">
        <v>7</v>
      </c>
    </row>
    <row r="38" spans="1:26" s="61" customFormat="1" ht="16.5" customHeight="1">
      <c r="A38" s="52"/>
      <c r="B38" s="53" t="s">
        <v>8</v>
      </c>
      <c r="C38" s="54">
        <v>0</v>
      </c>
      <c r="D38" s="55">
        <v>23</v>
      </c>
      <c r="E38" s="56">
        <v>0</v>
      </c>
      <c r="F38" s="57">
        <v>5</v>
      </c>
      <c r="G38" s="58">
        <v>0</v>
      </c>
      <c r="H38" s="55">
        <v>0</v>
      </c>
      <c r="I38" s="59">
        <v>0</v>
      </c>
      <c r="J38" s="57">
        <v>0</v>
      </c>
      <c r="K38" s="58">
        <v>0</v>
      </c>
      <c r="L38" s="55">
        <v>5</v>
      </c>
      <c r="M38" s="59">
        <v>0</v>
      </c>
      <c r="N38" s="57">
        <v>1</v>
      </c>
      <c r="O38" s="58">
        <v>0</v>
      </c>
      <c r="P38" s="55">
        <v>0</v>
      </c>
      <c r="Q38" s="59">
        <v>0</v>
      </c>
      <c r="R38" s="57">
        <v>1</v>
      </c>
      <c r="S38" s="54">
        <v>0</v>
      </c>
      <c r="T38" s="60">
        <v>2</v>
      </c>
      <c r="U38" s="58">
        <v>0</v>
      </c>
      <c r="V38" s="60">
        <v>2</v>
      </c>
      <c r="W38" s="59">
        <v>0</v>
      </c>
      <c r="X38" s="57">
        <v>1</v>
      </c>
      <c r="Y38" s="58">
        <v>0</v>
      </c>
      <c r="Z38" s="60">
        <v>6</v>
      </c>
    </row>
    <row r="39" spans="1:26" s="5" customFormat="1" ht="16.5" customHeight="1">
      <c r="A39" s="8"/>
      <c r="B39" s="9" t="s">
        <v>9</v>
      </c>
      <c r="C39" s="19">
        <v>0</v>
      </c>
      <c r="D39" s="25">
        <v>40</v>
      </c>
      <c r="E39" s="43">
        <v>0</v>
      </c>
      <c r="F39" s="27">
        <v>6</v>
      </c>
      <c r="G39" s="28">
        <v>0</v>
      </c>
      <c r="H39" s="25">
        <v>0</v>
      </c>
      <c r="I39" s="26">
        <v>0</v>
      </c>
      <c r="J39" s="27">
        <v>0</v>
      </c>
      <c r="K39" s="28">
        <v>0</v>
      </c>
      <c r="L39" s="25">
        <v>6</v>
      </c>
      <c r="M39" s="26">
        <v>0</v>
      </c>
      <c r="N39" s="27">
        <v>4</v>
      </c>
      <c r="O39" s="28">
        <v>0</v>
      </c>
      <c r="P39" s="25">
        <v>2</v>
      </c>
      <c r="Q39" s="26">
        <v>0</v>
      </c>
      <c r="R39" s="27">
        <v>2</v>
      </c>
      <c r="S39" s="19">
        <v>0</v>
      </c>
      <c r="T39" s="29">
        <v>7</v>
      </c>
      <c r="U39" s="28">
        <v>0</v>
      </c>
      <c r="V39" s="29">
        <v>1</v>
      </c>
      <c r="W39" s="26">
        <v>0</v>
      </c>
      <c r="X39" s="27">
        <v>2</v>
      </c>
      <c r="Y39" s="28">
        <v>0</v>
      </c>
      <c r="Z39" s="29">
        <v>10</v>
      </c>
    </row>
    <row r="40" spans="1:26" s="5" customFormat="1" ht="16.5" customHeight="1">
      <c r="A40" s="8"/>
      <c r="B40" s="9" t="s">
        <v>10</v>
      </c>
      <c r="C40" s="19">
        <v>1</v>
      </c>
      <c r="D40" s="25">
        <v>33</v>
      </c>
      <c r="E40" s="43">
        <v>0</v>
      </c>
      <c r="F40" s="27">
        <v>8</v>
      </c>
      <c r="G40" s="28">
        <v>0</v>
      </c>
      <c r="H40" s="25">
        <v>0</v>
      </c>
      <c r="I40" s="26">
        <v>0</v>
      </c>
      <c r="J40" s="27">
        <v>1</v>
      </c>
      <c r="K40" s="28">
        <v>1</v>
      </c>
      <c r="L40" s="25">
        <v>4</v>
      </c>
      <c r="M40" s="26">
        <v>0</v>
      </c>
      <c r="N40" s="27">
        <v>4</v>
      </c>
      <c r="O40" s="28">
        <v>0</v>
      </c>
      <c r="P40" s="25">
        <v>2</v>
      </c>
      <c r="Q40" s="26">
        <v>0</v>
      </c>
      <c r="R40" s="27">
        <v>3</v>
      </c>
      <c r="S40" s="19">
        <v>0</v>
      </c>
      <c r="T40" s="29">
        <v>1</v>
      </c>
      <c r="U40" s="28">
        <v>0</v>
      </c>
      <c r="V40" s="29">
        <v>2</v>
      </c>
      <c r="W40" s="26">
        <v>0</v>
      </c>
      <c r="X40" s="27">
        <v>1</v>
      </c>
      <c r="Y40" s="28">
        <v>0</v>
      </c>
      <c r="Z40" s="29">
        <v>7</v>
      </c>
    </row>
    <row r="41" spans="1:26" s="5" customFormat="1" ht="16.5" customHeight="1">
      <c r="A41" s="8"/>
      <c r="B41" s="9" t="s">
        <v>11</v>
      </c>
      <c r="C41" s="19">
        <v>1</v>
      </c>
      <c r="D41" s="25">
        <v>30</v>
      </c>
      <c r="E41" s="43">
        <v>0</v>
      </c>
      <c r="F41" s="27">
        <v>5</v>
      </c>
      <c r="G41" s="28">
        <v>0</v>
      </c>
      <c r="H41" s="25">
        <v>0</v>
      </c>
      <c r="I41" s="26">
        <v>0</v>
      </c>
      <c r="J41" s="27">
        <v>0</v>
      </c>
      <c r="K41" s="28">
        <v>0</v>
      </c>
      <c r="L41" s="25">
        <v>5</v>
      </c>
      <c r="M41" s="26">
        <v>0</v>
      </c>
      <c r="N41" s="27">
        <v>2</v>
      </c>
      <c r="O41" s="28">
        <v>0</v>
      </c>
      <c r="P41" s="25">
        <v>0</v>
      </c>
      <c r="Q41" s="26">
        <v>0</v>
      </c>
      <c r="R41" s="27">
        <v>7</v>
      </c>
      <c r="S41" s="19">
        <v>0</v>
      </c>
      <c r="T41" s="29">
        <v>3</v>
      </c>
      <c r="U41" s="28">
        <v>1</v>
      </c>
      <c r="V41" s="29">
        <v>0</v>
      </c>
      <c r="W41" s="26">
        <v>0</v>
      </c>
      <c r="X41" s="27">
        <v>2</v>
      </c>
      <c r="Y41" s="28">
        <v>0</v>
      </c>
      <c r="Z41" s="29">
        <v>6</v>
      </c>
    </row>
    <row r="42" spans="1:26" s="5" customFormat="1" ht="16.5" customHeight="1">
      <c r="A42" s="8"/>
      <c r="B42" s="9" t="s">
        <v>12</v>
      </c>
      <c r="C42" s="19">
        <v>2</v>
      </c>
      <c r="D42" s="25">
        <v>38</v>
      </c>
      <c r="E42" s="43">
        <v>0</v>
      </c>
      <c r="F42" s="27">
        <v>4</v>
      </c>
      <c r="G42" s="28">
        <v>0</v>
      </c>
      <c r="H42" s="25">
        <v>0</v>
      </c>
      <c r="I42" s="26">
        <v>0</v>
      </c>
      <c r="J42" s="27">
        <v>1</v>
      </c>
      <c r="K42" s="28">
        <v>0</v>
      </c>
      <c r="L42" s="25">
        <v>7</v>
      </c>
      <c r="M42" s="26">
        <v>0</v>
      </c>
      <c r="N42" s="27">
        <v>6</v>
      </c>
      <c r="O42" s="28">
        <v>0</v>
      </c>
      <c r="P42" s="25">
        <v>0</v>
      </c>
      <c r="Q42" s="26">
        <v>1</v>
      </c>
      <c r="R42" s="27">
        <v>7</v>
      </c>
      <c r="S42" s="19">
        <v>0</v>
      </c>
      <c r="T42" s="29">
        <v>5</v>
      </c>
      <c r="U42" s="28">
        <v>1</v>
      </c>
      <c r="V42" s="29">
        <v>2</v>
      </c>
      <c r="W42" s="26">
        <v>0</v>
      </c>
      <c r="X42" s="27">
        <v>0</v>
      </c>
      <c r="Y42" s="28">
        <v>0</v>
      </c>
      <c r="Z42" s="29">
        <v>6</v>
      </c>
    </row>
    <row r="43" spans="1:26" s="5" customFormat="1" ht="16.5" customHeight="1">
      <c r="A43" s="10"/>
      <c r="B43" s="11" t="s">
        <v>13</v>
      </c>
      <c r="C43" s="21">
        <v>0</v>
      </c>
      <c r="D43" s="35">
        <v>38</v>
      </c>
      <c r="E43" s="46">
        <v>0</v>
      </c>
      <c r="F43" s="37">
        <v>3</v>
      </c>
      <c r="G43" s="38">
        <v>0</v>
      </c>
      <c r="H43" s="35">
        <v>0</v>
      </c>
      <c r="I43" s="36">
        <v>0</v>
      </c>
      <c r="J43" s="37">
        <v>0</v>
      </c>
      <c r="K43" s="38">
        <v>0</v>
      </c>
      <c r="L43" s="35">
        <v>3</v>
      </c>
      <c r="M43" s="36">
        <v>0</v>
      </c>
      <c r="N43" s="37">
        <v>9</v>
      </c>
      <c r="O43" s="38">
        <v>0</v>
      </c>
      <c r="P43" s="35">
        <v>0</v>
      </c>
      <c r="Q43" s="36">
        <v>0</v>
      </c>
      <c r="R43" s="37">
        <v>1</v>
      </c>
      <c r="S43" s="21">
        <v>0</v>
      </c>
      <c r="T43" s="39">
        <v>8</v>
      </c>
      <c r="U43" s="38">
        <v>0</v>
      </c>
      <c r="V43" s="39">
        <v>0</v>
      </c>
      <c r="W43" s="36">
        <v>0</v>
      </c>
      <c r="X43" s="37">
        <v>2</v>
      </c>
      <c r="Y43" s="38">
        <v>0</v>
      </c>
      <c r="Z43" s="39">
        <v>12</v>
      </c>
    </row>
    <row r="44" spans="1:26" s="5" customFormat="1" ht="16.5" customHeight="1" thickBot="1">
      <c r="A44" s="64" t="s">
        <v>37</v>
      </c>
      <c r="B44" s="6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s="5" customFormat="1" ht="16.5" customHeight="1">
      <c r="A45" s="95" t="str">
        <f>"2019（令和元）年"&amp;COUNTA(E32:E43)&amp;"月迄"</f>
        <v>2019（令和元）年12月迄</v>
      </c>
      <c r="B45" s="96"/>
      <c r="C45" s="76">
        <f>SUM(C32:C43)</f>
        <v>6</v>
      </c>
      <c r="D45" s="77">
        <f>SUM(D32:D43)</f>
        <v>442</v>
      </c>
      <c r="E45" s="77">
        <f>SUM(E32:E43)</f>
        <v>0</v>
      </c>
      <c r="F45" s="77">
        <f aca="true" t="shared" si="0" ref="F45:Z45">SUM(F32:F43)</f>
        <v>91</v>
      </c>
      <c r="G45" s="77">
        <f>SUM(G32:G43)</f>
        <v>0</v>
      </c>
      <c r="H45" s="77">
        <f t="shared" si="0"/>
        <v>0</v>
      </c>
      <c r="I45" s="77">
        <f t="shared" si="0"/>
        <v>0</v>
      </c>
      <c r="J45" s="78">
        <f>SUM(J32:J43)</f>
        <v>2</v>
      </c>
      <c r="K45" s="77">
        <f t="shared" si="0"/>
        <v>2</v>
      </c>
      <c r="L45" s="77">
        <f t="shared" si="0"/>
        <v>58</v>
      </c>
      <c r="M45" s="77">
        <f t="shared" si="0"/>
        <v>0</v>
      </c>
      <c r="N45" s="77">
        <f t="shared" si="0"/>
        <v>55</v>
      </c>
      <c r="O45" s="77">
        <f t="shared" si="0"/>
        <v>0</v>
      </c>
      <c r="P45" s="77">
        <f t="shared" si="0"/>
        <v>9</v>
      </c>
      <c r="Q45" s="77">
        <f t="shared" si="0"/>
        <v>1</v>
      </c>
      <c r="R45" s="77">
        <f t="shared" si="0"/>
        <v>31</v>
      </c>
      <c r="S45" s="76">
        <f t="shared" si="0"/>
        <v>0</v>
      </c>
      <c r="T45" s="77">
        <f t="shared" si="0"/>
        <v>55</v>
      </c>
      <c r="U45" s="77">
        <f t="shared" si="0"/>
        <v>2</v>
      </c>
      <c r="V45" s="77">
        <f t="shared" si="0"/>
        <v>23</v>
      </c>
      <c r="W45" s="77">
        <f t="shared" si="0"/>
        <v>0</v>
      </c>
      <c r="X45" s="77">
        <f t="shared" si="0"/>
        <v>22</v>
      </c>
      <c r="Y45" s="77">
        <f t="shared" si="0"/>
        <v>1</v>
      </c>
      <c r="Z45" s="79">
        <f t="shared" si="0"/>
        <v>96</v>
      </c>
    </row>
    <row r="46" spans="1:26" s="5" customFormat="1" ht="16.5" customHeight="1">
      <c r="A46" s="97" t="str">
        <f>"前年"&amp;COUNTA(E32:E43)&amp;"月迄"</f>
        <v>前年12月迄</v>
      </c>
      <c r="B46" s="98"/>
      <c r="C46" s="80">
        <f ca="1">SUM(C20:(INDIRECT("c"&amp;COUNT($E32:$E43)+19)))</f>
        <v>5</v>
      </c>
      <c r="D46" s="80">
        <f ca="1">SUM(D20:(INDIRECT("d"&amp;COUNT($E32:$E43)+19)))</f>
        <v>498</v>
      </c>
      <c r="E46" s="80">
        <f ca="1">SUM(E20:(INDIRECT("e"&amp;COUNT($E32:$E43)+19)))</f>
        <v>1</v>
      </c>
      <c r="F46" s="80">
        <f ca="1">SUM(F20:(INDIRECT("f"&amp;COUNT($E32:$E43)+19)))</f>
        <v>101</v>
      </c>
      <c r="G46" s="80">
        <f ca="1">SUM(G20:(INDIRECT("ｇ"&amp;COUNT($E32:$E43)+19)))</f>
        <v>0</v>
      </c>
      <c r="H46" s="80">
        <f ca="1">SUM(H20:(INDIRECT("ｈ"&amp;COUNT($E32:$E43)+19)))</f>
        <v>3</v>
      </c>
      <c r="I46" s="80">
        <f ca="1">SUM(I20:(INDIRECT("i"&amp;COUNT($E32:$E43)+19)))</f>
        <v>0</v>
      </c>
      <c r="J46" s="80">
        <f ca="1">SUM(J20:(INDIRECT("j"&amp;COUNT($E32:$E43)+19)))</f>
        <v>1</v>
      </c>
      <c r="K46" s="80">
        <f ca="1">SUM(K20:(INDIRECT("k"&amp;COUNT($E32:$E43)+19)))</f>
        <v>1</v>
      </c>
      <c r="L46" s="80">
        <f ca="1">SUM(L20:(INDIRECT("l"&amp;COUNT($E32:$E43)+19)))</f>
        <v>71</v>
      </c>
      <c r="M46" s="80">
        <f ca="1">SUM(M20:(INDIRECT("m"&amp;COUNT($E32:$E43)+19)))</f>
        <v>2</v>
      </c>
      <c r="N46" s="80">
        <f ca="1">SUM(N20:(INDIRECT("n"&amp;COUNT($E32:$E43)+19)))</f>
        <v>57</v>
      </c>
      <c r="O46" s="80">
        <f ca="1">SUM(O20:(INDIRECT("o"&amp;COUNT($E32:$E43)+19)))</f>
        <v>1</v>
      </c>
      <c r="P46" s="80">
        <f ca="1">SUM(P20:(INDIRECT("p"&amp;COUNT($E32:$E43)+19)))</f>
        <v>11</v>
      </c>
      <c r="Q46" s="80">
        <f ca="1">SUM(Q20:(INDIRECT("q"&amp;COUNT($E32:$E43)+19)))</f>
        <v>0</v>
      </c>
      <c r="R46" s="80">
        <f ca="1">SUM(R20:(INDIRECT("r"&amp;COUNT($E32:$E43)+19)))</f>
        <v>36</v>
      </c>
      <c r="S46" s="80">
        <f ca="1">SUM(S20:(INDIRECT("s"&amp;COUNT($E32:$E43)+19)))</f>
        <v>0</v>
      </c>
      <c r="T46" s="80">
        <f ca="1">SUM(T20:(INDIRECT("t"&amp;COUNT($E32:$E43)+19)))</f>
        <v>70</v>
      </c>
      <c r="U46" s="80">
        <f ca="1">SUM(U20:(INDIRECT("u"&amp;COUNT($E32:$E43)+19)))</f>
        <v>0</v>
      </c>
      <c r="V46" s="80">
        <f ca="1">SUM(V20:(INDIRECT("v"&amp;COUNT($E32:$E43)+19)))</f>
        <v>17</v>
      </c>
      <c r="W46" s="80">
        <f ca="1">SUM(W20:(INDIRECT("w"&amp;COUNT($E32:$E43)+19)))</f>
        <v>0</v>
      </c>
      <c r="X46" s="80">
        <f ca="1">SUM(X20:(INDIRECT("x"&amp;COUNT($E32:$E43)+19)))</f>
        <v>22</v>
      </c>
      <c r="Y46" s="80">
        <f ca="1">SUM(Y20:(INDIRECT("y"&amp;COUNT($E32:$E43)+19)))</f>
        <v>0</v>
      </c>
      <c r="Z46" s="81">
        <f ca="1">SUM(Z20:(INDIRECT("z"&amp;COUNT($E32:$E43)+19)))</f>
        <v>110</v>
      </c>
    </row>
    <row r="47" spans="1:26" s="5" customFormat="1" ht="16.5" customHeight="1" thickBot="1">
      <c r="A47" s="99" t="s">
        <v>36</v>
      </c>
      <c r="B47" s="100"/>
      <c r="C47" s="82">
        <f>C45-C46</f>
        <v>1</v>
      </c>
      <c r="D47" s="62">
        <f aca="true" t="shared" si="1" ref="D47:Z47">D45-D46</f>
        <v>-56</v>
      </c>
      <c r="E47" s="62">
        <f t="shared" si="1"/>
        <v>-1</v>
      </c>
      <c r="F47" s="62">
        <f t="shared" si="1"/>
        <v>-10</v>
      </c>
      <c r="G47" s="62">
        <f t="shared" si="1"/>
        <v>0</v>
      </c>
      <c r="H47" s="62">
        <f t="shared" si="1"/>
        <v>-3</v>
      </c>
      <c r="I47" s="62">
        <f t="shared" si="1"/>
        <v>0</v>
      </c>
      <c r="J47" s="66">
        <f t="shared" si="1"/>
        <v>1</v>
      </c>
      <c r="K47" s="62">
        <f t="shared" si="1"/>
        <v>1</v>
      </c>
      <c r="L47" s="62">
        <f t="shared" si="1"/>
        <v>-13</v>
      </c>
      <c r="M47" s="62">
        <f t="shared" si="1"/>
        <v>-2</v>
      </c>
      <c r="N47" s="62">
        <f t="shared" si="1"/>
        <v>-2</v>
      </c>
      <c r="O47" s="62">
        <f t="shared" si="1"/>
        <v>-1</v>
      </c>
      <c r="P47" s="62">
        <f t="shared" si="1"/>
        <v>-2</v>
      </c>
      <c r="Q47" s="62">
        <f t="shared" si="1"/>
        <v>1</v>
      </c>
      <c r="R47" s="62">
        <f t="shared" si="1"/>
        <v>-5</v>
      </c>
      <c r="S47" s="82">
        <f t="shared" si="1"/>
        <v>0</v>
      </c>
      <c r="T47" s="62">
        <f t="shared" si="1"/>
        <v>-15</v>
      </c>
      <c r="U47" s="62">
        <f t="shared" si="1"/>
        <v>2</v>
      </c>
      <c r="V47" s="62">
        <f t="shared" si="1"/>
        <v>6</v>
      </c>
      <c r="W47" s="62">
        <f t="shared" si="1"/>
        <v>0</v>
      </c>
      <c r="X47" s="62">
        <f t="shared" si="1"/>
        <v>0</v>
      </c>
      <c r="Y47" s="62">
        <f t="shared" si="1"/>
        <v>1</v>
      </c>
      <c r="Z47" s="63">
        <f t="shared" si="1"/>
        <v>-14</v>
      </c>
    </row>
    <row r="48" s="5" customFormat="1" ht="16.5" customHeight="1">
      <c r="A48" s="5" t="s">
        <v>28</v>
      </c>
    </row>
    <row r="49" s="2" customFormat="1" ht="16.5" customHeight="1">
      <c r="A49" s="5" t="s">
        <v>38</v>
      </c>
    </row>
    <row r="50" s="5" customFormat="1" ht="16.5" customHeight="1">
      <c r="A50" s="5" t="s">
        <v>30</v>
      </c>
    </row>
    <row r="51" s="5" customFormat="1" ht="16.5" customHeight="1">
      <c r="B51" s="5" t="s">
        <v>31</v>
      </c>
    </row>
    <row r="52" s="5" customFormat="1" ht="16.5" customHeight="1">
      <c r="B52" s="5" t="s">
        <v>32</v>
      </c>
    </row>
    <row r="53" s="5" customFormat="1" ht="16.5" customHeight="1">
      <c r="B53" s="5" t="s">
        <v>33</v>
      </c>
    </row>
    <row r="54" s="5" customFormat="1" ht="16.5" customHeight="1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</sheetData>
  <sheetProtection/>
  <mergeCells count="16">
    <mergeCell ref="Y4:Z4"/>
    <mergeCell ref="A45:B45"/>
    <mergeCell ref="A46:B46"/>
    <mergeCell ref="A47:B47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conditionalFormatting sqref="C45:Z47">
    <cfRule type="cellIs" priority="1" dxfId="18" operator="lessThan" stopIfTrue="1">
      <formula>0</formula>
    </cfRule>
    <cfRule type="cellIs" priority="2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39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>
      <c r="A13" s="8" t="s">
        <v>47</v>
      </c>
      <c r="B13" s="14" t="s">
        <v>1</v>
      </c>
      <c r="C13" s="19">
        <v>6</v>
      </c>
      <c r="D13" s="25">
        <v>470</v>
      </c>
      <c r="E13" s="43">
        <v>0</v>
      </c>
      <c r="F13" s="29">
        <v>117</v>
      </c>
      <c r="G13" s="19">
        <v>0</v>
      </c>
      <c r="H13" s="25">
        <v>0</v>
      </c>
      <c r="I13" s="19">
        <v>0</v>
      </c>
      <c r="J13" s="25">
        <v>1</v>
      </c>
      <c r="K13" s="19">
        <v>2</v>
      </c>
      <c r="L13" s="25">
        <v>65</v>
      </c>
      <c r="M13" s="19">
        <v>1</v>
      </c>
      <c r="N13" s="25">
        <v>52</v>
      </c>
      <c r="O13" s="19">
        <v>1</v>
      </c>
      <c r="P13" s="25">
        <v>12</v>
      </c>
      <c r="Q13" s="19">
        <v>1</v>
      </c>
      <c r="R13" s="25">
        <v>73</v>
      </c>
      <c r="S13" s="19">
        <v>1</v>
      </c>
      <c r="T13" s="25">
        <v>33</v>
      </c>
      <c r="U13" s="19">
        <v>0</v>
      </c>
      <c r="V13" s="29">
        <v>11</v>
      </c>
      <c r="W13" s="19">
        <v>0</v>
      </c>
      <c r="X13" s="25">
        <v>15</v>
      </c>
      <c r="Y13" s="19">
        <v>0</v>
      </c>
      <c r="Z13" s="29">
        <v>91</v>
      </c>
    </row>
    <row r="14" spans="1:26" s="14" customFormat="1" ht="18.75" customHeight="1">
      <c r="A14" s="8" t="s">
        <v>48</v>
      </c>
      <c r="B14" s="14" t="s">
        <v>1</v>
      </c>
      <c r="C14" s="19">
        <v>7</v>
      </c>
      <c r="D14" s="25">
        <v>502</v>
      </c>
      <c r="E14" s="43">
        <v>2</v>
      </c>
      <c r="F14" s="29">
        <v>119</v>
      </c>
      <c r="G14" s="19">
        <v>0</v>
      </c>
      <c r="H14" s="25">
        <v>0</v>
      </c>
      <c r="I14" s="19">
        <v>0</v>
      </c>
      <c r="J14" s="25">
        <v>2</v>
      </c>
      <c r="K14" s="19">
        <v>1</v>
      </c>
      <c r="L14" s="25">
        <v>87</v>
      </c>
      <c r="M14" s="19">
        <v>1</v>
      </c>
      <c r="N14" s="25">
        <v>54</v>
      </c>
      <c r="O14" s="19">
        <v>0</v>
      </c>
      <c r="P14" s="25">
        <v>8</v>
      </c>
      <c r="Q14" s="19">
        <v>2</v>
      </c>
      <c r="R14" s="25">
        <v>70</v>
      </c>
      <c r="S14" s="19">
        <v>0</v>
      </c>
      <c r="T14" s="25">
        <v>43</v>
      </c>
      <c r="U14" s="19">
        <v>0</v>
      </c>
      <c r="V14" s="29">
        <v>10</v>
      </c>
      <c r="W14" s="19">
        <v>0</v>
      </c>
      <c r="X14" s="25">
        <v>17</v>
      </c>
      <c r="Y14" s="19">
        <v>1</v>
      </c>
      <c r="Z14" s="29">
        <v>92</v>
      </c>
    </row>
    <row r="15" spans="1:26" s="14" customFormat="1" ht="18.75" customHeight="1">
      <c r="A15" s="8" t="s">
        <v>49</v>
      </c>
      <c r="B15" s="14" t="s">
        <v>1</v>
      </c>
      <c r="C15" s="19">
        <v>7</v>
      </c>
      <c r="D15" s="25">
        <v>549</v>
      </c>
      <c r="E15" s="43">
        <v>1</v>
      </c>
      <c r="F15" s="29">
        <v>135</v>
      </c>
      <c r="G15" s="19">
        <v>0</v>
      </c>
      <c r="H15" s="25">
        <v>1</v>
      </c>
      <c r="I15" s="19">
        <v>0</v>
      </c>
      <c r="J15" s="25">
        <v>1</v>
      </c>
      <c r="K15" s="19">
        <v>2</v>
      </c>
      <c r="L15" s="25">
        <v>82</v>
      </c>
      <c r="M15" s="19">
        <v>0</v>
      </c>
      <c r="N15" s="25">
        <v>65</v>
      </c>
      <c r="O15" s="19">
        <v>0</v>
      </c>
      <c r="P15" s="25">
        <v>13</v>
      </c>
      <c r="Q15" s="19">
        <v>1</v>
      </c>
      <c r="R15" s="25">
        <v>53</v>
      </c>
      <c r="S15" s="19">
        <v>1</v>
      </c>
      <c r="T15" s="25">
        <v>50</v>
      </c>
      <c r="U15" s="19">
        <v>0</v>
      </c>
      <c r="V15" s="29">
        <v>25</v>
      </c>
      <c r="W15" s="19">
        <v>1</v>
      </c>
      <c r="X15" s="25">
        <v>26</v>
      </c>
      <c r="Y15" s="19">
        <v>1</v>
      </c>
      <c r="Z15" s="29">
        <v>98</v>
      </c>
    </row>
    <row r="16" spans="1:26" s="14" customFormat="1" ht="18.75" customHeight="1">
      <c r="A16" s="8" t="s">
        <v>50</v>
      </c>
      <c r="B16" s="14" t="s">
        <v>1</v>
      </c>
      <c r="C16" s="19">
        <v>7</v>
      </c>
      <c r="D16" s="25">
        <v>538</v>
      </c>
      <c r="E16" s="43">
        <v>0</v>
      </c>
      <c r="F16" s="29">
        <v>124</v>
      </c>
      <c r="G16" s="19">
        <v>0</v>
      </c>
      <c r="H16" s="25">
        <v>0</v>
      </c>
      <c r="I16" s="19">
        <v>0</v>
      </c>
      <c r="J16" s="25">
        <v>3</v>
      </c>
      <c r="K16" s="19">
        <v>2</v>
      </c>
      <c r="L16" s="25">
        <v>93</v>
      </c>
      <c r="M16" s="19">
        <v>1</v>
      </c>
      <c r="N16" s="25">
        <v>64</v>
      </c>
      <c r="O16" s="19">
        <v>2</v>
      </c>
      <c r="P16" s="25">
        <v>7</v>
      </c>
      <c r="Q16" s="19">
        <v>0</v>
      </c>
      <c r="R16" s="25">
        <v>64</v>
      </c>
      <c r="S16" s="19">
        <v>0</v>
      </c>
      <c r="T16" s="25">
        <v>47</v>
      </c>
      <c r="U16" s="19">
        <v>1</v>
      </c>
      <c r="V16" s="29">
        <v>21</v>
      </c>
      <c r="W16" s="19">
        <v>0</v>
      </c>
      <c r="X16" s="25">
        <v>25</v>
      </c>
      <c r="Y16" s="19">
        <v>1</v>
      </c>
      <c r="Z16" s="29">
        <v>90</v>
      </c>
    </row>
    <row r="17" spans="1:26" s="14" customFormat="1" ht="18.75" customHeight="1">
      <c r="A17" s="8" t="s">
        <v>51</v>
      </c>
      <c r="B17" s="14" t="s">
        <v>1</v>
      </c>
      <c r="C17" s="19">
        <v>5</v>
      </c>
      <c r="D17" s="25">
        <v>508</v>
      </c>
      <c r="E17" s="43">
        <v>0</v>
      </c>
      <c r="F17" s="29">
        <v>130</v>
      </c>
      <c r="G17" s="19">
        <v>0</v>
      </c>
      <c r="H17" s="25">
        <v>0</v>
      </c>
      <c r="I17" s="19">
        <v>0</v>
      </c>
      <c r="J17" s="25">
        <v>1</v>
      </c>
      <c r="K17" s="19">
        <v>3</v>
      </c>
      <c r="L17" s="25">
        <v>76</v>
      </c>
      <c r="M17" s="19">
        <v>2</v>
      </c>
      <c r="N17" s="25">
        <v>69</v>
      </c>
      <c r="O17" s="19">
        <v>0</v>
      </c>
      <c r="P17" s="25">
        <v>10</v>
      </c>
      <c r="Q17" s="19">
        <v>0</v>
      </c>
      <c r="R17" s="25">
        <v>72</v>
      </c>
      <c r="S17" s="19">
        <v>0</v>
      </c>
      <c r="T17" s="25">
        <v>36</v>
      </c>
      <c r="U17" s="19">
        <v>0</v>
      </c>
      <c r="V17" s="29">
        <v>14</v>
      </c>
      <c r="W17" s="19">
        <v>0</v>
      </c>
      <c r="X17" s="25">
        <v>21</v>
      </c>
      <c r="Y17" s="19">
        <v>0</v>
      </c>
      <c r="Z17" s="29">
        <v>79</v>
      </c>
    </row>
    <row r="18" spans="1:26" s="14" customFormat="1" ht="18.75" customHeight="1" thickBot="1">
      <c r="A18" s="8" t="s">
        <v>52</v>
      </c>
      <c r="B18" s="14" t="s">
        <v>1</v>
      </c>
      <c r="C18" s="19">
        <v>7</v>
      </c>
      <c r="D18" s="25">
        <v>474</v>
      </c>
      <c r="E18" s="43">
        <v>0</v>
      </c>
      <c r="F18" s="27">
        <v>109</v>
      </c>
      <c r="G18" s="28">
        <v>0</v>
      </c>
      <c r="H18" s="25">
        <v>0</v>
      </c>
      <c r="I18" s="85">
        <v>0</v>
      </c>
      <c r="J18" s="40">
        <v>5</v>
      </c>
      <c r="K18" s="28">
        <v>1</v>
      </c>
      <c r="L18" s="25">
        <v>64</v>
      </c>
      <c r="M18" s="85">
        <v>1</v>
      </c>
      <c r="N18" s="84">
        <v>66</v>
      </c>
      <c r="O18" s="28">
        <v>0</v>
      </c>
      <c r="P18" s="25">
        <v>6</v>
      </c>
      <c r="Q18" s="85">
        <v>3</v>
      </c>
      <c r="R18" s="28">
        <v>52</v>
      </c>
      <c r="S18" s="85">
        <v>0</v>
      </c>
      <c r="T18" s="84">
        <v>53</v>
      </c>
      <c r="U18" s="28">
        <v>0</v>
      </c>
      <c r="V18" s="29">
        <v>22</v>
      </c>
      <c r="W18" s="85">
        <v>0</v>
      </c>
      <c r="X18" s="84">
        <v>18</v>
      </c>
      <c r="Y18" s="28">
        <v>2</v>
      </c>
      <c r="Z18" s="29">
        <v>79</v>
      </c>
    </row>
    <row r="19" spans="1:26" s="5" customFormat="1" ht="16.5" customHeight="1" thickTop="1">
      <c r="A19" s="15" t="s">
        <v>53</v>
      </c>
      <c r="B19" s="16" t="s">
        <v>2</v>
      </c>
      <c r="C19" s="20">
        <v>0</v>
      </c>
      <c r="D19" s="30">
        <v>54</v>
      </c>
      <c r="E19" s="45">
        <v>0</v>
      </c>
      <c r="F19" s="32">
        <v>16</v>
      </c>
      <c r="G19" s="33">
        <v>0</v>
      </c>
      <c r="H19" s="30">
        <v>0</v>
      </c>
      <c r="I19" s="31">
        <v>0</v>
      </c>
      <c r="J19" s="32">
        <v>0</v>
      </c>
      <c r="K19" s="33">
        <v>0</v>
      </c>
      <c r="L19" s="30">
        <v>4</v>
      </c>
      <c r="M19" s="31">
        <v>0</v>
      </c>
      <c r="N19" s="32">
        <v>7</v>
      </c>
      <c r="O19" s="33">
        <v>0</v>
      </c>
      <c r="P19" s="30">
        <v>0</v>
      </c>
      <c r="Q19" s="31">
        <v>0</v>
      </c>
      <c r="R19" s="32">
        <v>1</v>
      </c>
      <c r="S19" s="20">
        <v>0</v>
      </c>
      <c r="T19" s="34">
        <v>11</v>
      </c>
      <c r="U19" s="33">
        <v>0</v>
      </c>
      <c r="V19" s="34">
        <v>1</v>
      </c>
      <c r="W19" s="31">
        <v>0</v>
      </c>
      <c r="X19" s="32">
        <v>3</v>
      </c>
      <c r="Y19" s="33">
        <v>0</v>
      </c>
      <c r="Z19" s="34">
        <v>11</v>
      </c>
    </row>
    <row r="20" spans="1:26" s="5" customFormat="1" ht="16.5" customHeight="1">
      <c r="A20" s="8"/>
      <c r="B20" s="9" t="s">
        <v>3</v>
      </c>
      <c r="C20" s="19">
        <v>0</v>
      </c>
      <c r="D20" s="25">
        <v>40</v>
      </c>
      <c r="E20" s="43">
        <v>0</v>
      </c>
      <c r="F20" s="27">
        <v>9</v>
      </c>
      <c r="G20" s="28">
        <v>0</v>
      </c>
      <c r="H20" s="25">
        <v>0</v>
      </c>
      <c r="I20" s="26">
        <v>0</v>
      </c>
      <c r="J20" s="27">
        <v>0</v>
      </c>
      <c r="K20" s="28">
        <v>0</v>
      </c>
      <c r="L20" s="25">
        <v>4</v>
      </c>
      <c r="M20" s="26">
        <v>0</v>
      </c>
      <c r="N20" s="27">
        <v>5</v>
      </c>
      <c r="O20" s="28">
        <v>0</v>
      </c>
      <c r="P20" s="25">
        <v>1</v>
      </c>
      <c r="Q20" s="26">
        <v>0</v>
      </c>
      <c r="R20" s="27">
        <v>9</v>
      </c>
      <c r="S20" s="19">
        <v>0</v>
      </c>
      <c r="T20" s="29">
        <v>5</v>
      </c>
      <c r="U20" s="28">
        <v>0</v>
      </c>
      <c r="V20" s="29">
        <v>3</v>
      </c>
      <c r="W20" s="26">
        <v>0</v>
      </c>
      <c r="X20" s="27">
        <v>0</v>
      </c>
      <c r="Y20" s="28">
        <v>0</v>
      </c>
      <c r="Z20" s="29">
        <v>4</v>
      </c>
    </row>
    <row r="21" spans="1:26" s="5" customFormat="1" ht="16.5" customHeight="1">
      <c r="A21" s="8"/>
      <c r="B21" s="9" t="s">
        <v>4</v>
      </c>
      <c r="C21" s="19">
        <v>1</v>
      </c>
      <c r="D21" s="25">
        <v>30</v>
      </c>
      <c r="E21" s="43">
        <v>0</v>
      </c>
      <c r="F21" s="27">
        <v>4</v>
      </c>
      <c r="G21" s="28">
        <v>0</v>
      </c>
      <c r="H21" s="25">
        <v>0</v>
      </c>
      <c r="I21" s="26">
        <v>0</v>
      </c>
      <c r="J21" s="27">
        <v>2</v>
      </c>
      <c r="K21" s="28">
        <v>0</v>
      </c>
      <c r="L21" s="25">
        <v>3</v>
      </c>
      <c r="M21" s="26">
        <v>1</v>
      </c>
      <c r="N21" s="27">
        <v>7</v>
      </c>
      <c r="O21" s="28">
        <v>0</v>
      </c>
      <c r="P21" s="25">
        <v>0</v>
      </c>
      <c r="Q21" s="26">
        <v>0</v>
      </c>
      <c r="R21" s="27">
        <v>5</v>
      </c>
      <c r="S21" s="19">
        <v>0</v>
      </c>
      <c r="T21" s="29">
        <v>2</v>
      </c>
      <c r="U21" s="28">
        <v>0</v>
      </c>
      <c r="V21" s="29">
        <v>0</v>
      </c>
      <c r="W21" s="26">
        <v>0</v>
      </c>
      <c r="X21" s="27">
        <v>1</v>
      </c>
      <c r="Y21" s="28">
        <v>0</v>
      </c>
      <c r="Z21" s="29">
        <v>6</v>
      </c>
    </row>
    <row r="22" spans="1:26" s="5" customFormat="1" ht="16.5" customHeight="1">
      <c r="A22" s="8"/>
      <c r="B22" s="9" t="s">
        <v>5</v>
      </c>
      <c r="C22" s="19">
        <v>0</v>
      </c>
      <c r="D22" s="25">
        <v>38</v>
      </c>
      <c r="E22" s="43">
        <v>0</v>
      </c>
      <c r="F22" s="27">
        <v>11</v>
      </c>
      <c r="G22" s="28">
        <v>0</v>
      </c>
      <c r="H22" s="25">
        <v>0</v>
      </c>
      <c r="I22" s="26">
        <v>0</v>
      </c>
      <c r="J22" s="27">
        <v>1</v>
      </c>
      <c r="K22" s="28">
        <v>0</v>
      </c>
      <c r="L22" s="25">
        <v>6</v>
      </c>
      <c r="M22" s="26">
        <v>0</v>
      </c>
      <c r="N22" s="27">
        <v>3</v>
      </c>
      <c r="O22" s="28">
        <v>0</v>
      </c>
      <c r="P22" s="25">
        <v>0</v>
      </c>
      <c r="Q22" s="26">
        <v>0</v>
      </c>
      <c r="R22" s="27">
        <v>6</v>
      </c>
      <c r="S22" s="19">
        <v>0</v>
      </c>
      <c r="T22" s="29">
        <v>6</v>
      </c>
      <c r="U22" s="28">
        <v>0</v>
      </c>
      <c r="V22" s="29">
        <v>2</v>
      </c>
      <c r="W22" s="26">
        <v>0</v>
      </c>
      <c r="X22" s="27">
        <v>0</v>
      </c>
      <c r="Y22" s="28">
        <v>0</v>
      </c>
      <c r="Z22" s="29">
        <v>3</v>
      </c>
    </row>
    <row r="23" spans="1:26" s="5" customFormat="1" ht="16.5" customHeight="1">
      <c r="A23" s="8"/>
      <c r="B23" s="9" t="s">
        <v>6</v>
      </c>
      <c r="C23" s="19">
        <v>2</v>
      </c>
      <c r="D23" s="25">
        <v>38</v>
      </c>
      <c r="E23" s="43">
        <v>0</v>
      </c>
      <c r="F23" s="27">
        <v>9</v>
      </c>
      <c r="G23" s="28">
        <v>0</v>
      </c>
      <c r="H23" s="25">
        <v>0</v>
      </c>
      <c r="I23" s="26">
        <v>0</v>
      </c>
      <c r="J23" s="27">
        <v>1</v>
      </c>
      <c r="K23" s="28">
        <v>0</v>
      </c>
      <c r="L23" s="25">
        <v>6</v>
      </c>
      <c r="M23" s="26">
        <v>0</v>
      </c>
      <c r="N23" s="27">
        <v>5</v>
      </c>
      <c r="O23" s="28">
        <v>0</v>
      </c>
      <c r="P23" s="25">
        <v>0</v>
      </c>
      <c r="Q23" s="26">
        <v>0</v>
      </c>
      <c r="R23" s="27">
        <v>1</v>
      </c>
      <c r="S23" s="19">
        <v>0</v>
      </c>
      <c r="T23" s="29">
        <v>2</v>
      </c>
      <c r="U23" s="28">
        <v>0</v>
      </c>
      <c r="V23" s="29">
        <v>3</v>
      </c>
      <c r="W23" s="26">
        <v>0</v>
      </c>
      <c r="X23" s="27">
        <v>1</v>
      </c>
      <c r="Y23" s="28">
        <v>2</v>
      </c>
      <c r="Z23" s="29">
        <v>10</v>
      </c>
    </row>
    <row r="24" spans="1:26" s="61" customFormat="1" ht="16.5" customHeight="1">
      <c r="A24" s="52"/>
      <c r="B24" s="53" t="s">
        <v>7</v>
      </c>
      <c r="C24" s="54">
        <v>0</v>
      </c>
      <c r="D24" s="55">
        <v>45</v>
      </c>
      <c r="E24" s="56">
        <v>0</v>
      </c>
      <c r="F24" s="57">
        <v>11</v>
      </c>
      <c r="G24" s="58">
        <v>0</v>
      </c>
      <c r="H24" s="55">
        <v>0</v>
      </c>
      <c r="I24" s="59">
        <v>0</v>
      </c>
      <c r="J24" s="57">
        <v>0</v>
      </c>
      <c r="K24" s="58">
        <v>0</v>
      </c>
      <c r="L24" s="55">
        <v>10</v>
      </c>
      <c r="M24" s="59">
        <v>0</v>
      </c>
      <c r="N24" s="57">
        <v>6</v>
      </c>
      <c r="O24" s="58">
        <v>0</v>
      </c>
      <c r="P24" s="55">
        <v>0</v>
      </c>
      <c r="Q24" s="59">
        <v>0</v>
      </c>
      <c r="R24" s="57">
        <v>3</v>
      </c>
      <c r="S24" s="54">
        <v>0</v>
      </c>
      <c r="T24" s="60">
        <v>0</v>
      </c>
      <c r="U24" s="58">
        <v>0</v>
      </c>
      <c r="V24" s="60">
        <v>3</v>
      </c>
      <c r="W24" s="59">
        <v>0</v>
      </c>
      <c r="X24" s="57">
        <v>3</v>
      </c>
      <c r="Y24" s="58">
        <v>0</v>
      </c>
      <c r="Z24" s="60">
        <v>9</v>
      </c>
    </row>
    <row r="25" spans="1:26" s="61" customFormat="1" ht="16.5" customHeight="1">
      <c r="A25" s="52"/>
      <c r="B25" s="53" t="s">
        <v>8</v>
      </c>
      <c r="C25" s="54">
        <v>0</v>
      </c>
      <c r="D25" s="55">
        <v>39</v>
      </c>
      <c r="E25" s="56">
        <v>0</v>
      </c>
      <c r="F25" s="57">
        <v>8</v>
      </c>
      <c r="G25" s="58">
        <v>0</v>
      </c>
      <c r="H25" s="55">
        <v>0</v>
      </c>
      <c r="I25" s="59">
        <v>0</v>
      </c>
      <c r="J25" s="57">
        <v>0</v>
      </c>
      <c r="K25" s="58">
        <v>0</v>
      </c>
      <c r="L25" s="55">
        <v>8</v>
      </c>
      <c r="M25" s="59">
        <v>0</v>
      </c>
      <c r="N25" s="57">
        <v>5</v>
      </c>
      <c r="O25" s="58">
        <v>0</v>
      </c>
      <c r="P25" s="55">
        <v>1</v>
      </c>
      <c r="Q25" s="59">
        <v>0</v>
      </c>
      <c r="R25" s="57">
        <v>5</v>
      </c>
      <c r="S25" s="54">
        <v>0</v>
      </c>
      <c r="T25" s="60">
        <v>5</v>
      </c>
      <c r="U25" s="58">
        <v>0</v>
      </c>
      <c r="V25" s="60">
        <v>2</v>
      </c>
      <c r="W25" s="59">
        <v>0</v>
      </c>
      <c r="X25" s="57">
        <v>0</v>
      </c>
      <c r="Y25" s="58">
        <v>0</v>
      </c>
      <c r="Z25" s="60">
        <v>5</v>
      </c>
    </row>
    <row r="26" spans="1:26" s="5" customFormat="1" ht="16.5" customHeight="1">
      <c r="A26" s="8"/>
      <c r="B26" s="9" t="s">
        <v>9</v>
      </c>
      <c r="C26" s="19">
        <v>0</v>
      </c>
      <c r="D26" s="25">
        <v>30</v>
      </c>
      <c r="E26" s="43">
        <v>0</v>
      </c>
      <c r="F26" s="27">
        <v>10</v>
      </c>
      <c r="G26" s="28">
        <v>0</v>
      </c>
      <c r="H26" s="25">
        <v>0</v>
      </c>
      <c r="I26" s="26">
        <v>0</v>
      </c>
      <c r="J26" s="27">
        <v>0</v>
      </c>
      <c r="K26" s="28">
        <v>0</v>
      </c>
      <c r="L26" s="25">
        <v>2</v>
      </c>
      <c r="M26" s="26">
        <v>0</v>
      </c>
      <c r="N26" s="27">
        <v>3</v>
      </c>
      <c r="O26" s="28">
        <v>0</v>
      </c>
      <c r="P26" s="25">
        <v>0</v>
      </c>
      <c r="Q26" s="26">
        <v>0</v>
      </c>
      <c r="R26" s="27">
        <v>2</v>
      </c>
      <c r="S26" s="19">
        <v>0</v>
      </c>
      <c r="T26" s="29">
        <v>4</v>
      </c>
      <c r="U26" s="28">
        <v>0</v>
      </c>
      <c r="V26" s="29">
        <v>2</v>
      </c>
      <c r="W26" s="26">
        <v>0</v>
      </c>
      <c r="X26" s="27">
        <v>2</v>
      </c>
      <c r="Y26" s="28">
        <v>0</v>
      </c>
      <c r="Z26" s="29">
        <v>5</v>
      </c>
    </row>
    <row r="27" spans="1:26" s="5" customFormat="1" ht="16.5" customHeight="1">
      <c r="A27" s="8"/>
      <c r="B27" s="9" t="s">
        <v>10</v>
      </c>
      <c r="C27" s="19">
        <v>1</v>
      </c>
      <c r="D27" s="25">
        <v>37</v>
      </c>
      <c r="E27" s="43">
        <v>0</v>
      </c>
      <c r="F27" s="27">
        <v>10</v>
      </c>
      <c r="G27" s="28">
        <v>0</v>
      </c>
      <c r="H27" s="25">
        <v>0</v>
      </c>
      <c r="I27" s="26">
        <v>0</v>
      </c>
      <c r="J27" s="27">
        <v>0</v>
      </c>
      <c r="K27" s="28">
        <v>0</v>
      </c>
      <c r="L27" s="25">
        <v>5</v>
      </c>
      <c r="M27" s="26">
        <v>0</v>
      </c>
      <c r="N27" s="27">
        <v>3</v>
      </c>
      <c r="O27" s="28">
        <v>0</v>
      </c>
      <c r="P27" s="25">
        <v>0</v>
      </c>
      <c r="Q27" s="26">
        <v>1</v>
      </c>
      <c r="R27" s="27">
        <v>5</v>
      </c>
      <c r="S27" s="19">
        <v>0</v>
      </c>
      <c r="T27" s="29">
        <v>1</v>
      </c>
      <c r="U27" s="28">
        <v>0</v>
      </c>
      <c r="V27" s="29">
        <v>0</v>
      </c>
      <c r="W27" s="26">
        <v>0</v>
      </c>
      <c r="X27" s="27">
        <v>3</v>
      </c>
      <c r="Y27" s="28">
        <v>0</v>
      </c>
      <c r="Z27" s="29">
        <v>10</v>
      </c>
    </row>
    <row r="28" spans="1:26" s="5" customFormat="1" ht="16.5" customHeight="1">
      <c r="A28" s="8"/>
      <c r="B28" s="9" t="s">
        <v>11</v>
      </c>
      <c r="C28" s="19">
        <v>0</v>
      </c>
      <c r="D28" s="25">
        <v>33</v>
      </c>
      <c r="E28" s="43">
        <v>0</v>
      </c>
      <c r="F28" s="27">
        <v>8</v>
      </c>
      <c r="G28" s="28">
        <v>0</v>
      </c>
      <c r="H28" s="25">
        <v>0</v>
      </c>
      <c r="I28" s="26">
        <v>0</v>
      </c>
      <c r="J28" s="27">
        <v>0</v>
      </c>
      <c r="K28" s="28">
        <v>0</v>
      </c>
      <c r="L28" s="25">
        <v>6</v>
      </c>
      <c r="M28" s="26">
        <v>0</v>
      </c>
      <c r="N28" s="27">
        <v>6</v>
      </c>
      <c r="O28" s="28">
        <v>0</v>
      </c>
      <c r="P28" s="25">
        <v>1</v>
      </c>
      <c r="Q28" s="26">
        <v>0</v>
      </c>
      <c r="R28" s="27">
        <v>2</v>
      </c>
      <c r="S28" s="19">
        <v>0</v>
      </c>
      <c r="T28" s="29">
        <v>5</v>
      </c>
      <c r="U28" s="28">
        <v>0</v>
      </c>
      <c r="V28" s="29">
        <v>1</v>
      </c>
      <c r="W28" s="26">
        <v>0</v>
      </c>
      <c r="X28" s="27">
        <v>0</v>
      </c>
      <c r="Y28" s="28">
        <v>0</v>
      </c>
      <c r="Z28" s="29">
        <v>4</v>
      </c>
    </row>
    <row r="29" spans="1:26" s="5" customFormat="1" ht="16.5" customHeight="1">
      <c r="A29" s="8"/>
      <c r="B29" s="9" t="s">
        <v>12</v>
      </c>
      <c r="C29" s="19">
        <v>0</v>
      </c>
      <c r="D29" s="25">
        <v>40</v>
      </c>
      <c r="E29" s="43">
        <v>0</v>
      </c>
      <c r="F29" s="27">
        <v>6</v>
      </c>
      <c r="G29" s="28">
        <v>0</v>
      </c>
      <c r="H29" s="25">
        <v>0</v>
      </c>
      <c r="I29" s="26">
        <v>0</v>
      </c>
      <c r="J29" s="27">
        <v>1</v>
      </c>
      <c r="K29" s="28">
        <v>0</v>
      </c>
      <c r="L29" s="25">
        <v>5</v>
      </c>
      <c r="M29" s="26">
        <v>0</v>
      </c>
      <c r="N29" s="27">
        <v>7</v>
      </c>
      <c r="O29" s="28">
        <v>0</v>
      </c>
      <c r="P29" s="25">
        <v>1</v>
      </c>
      <c r="Q29" s="26">
        <v>0</v>
      </c>
      <c r="R29" s="27">
        <v>8</v>
      </c>
      <c r="S29" s="19">
        <v>0</v>
      </c>
      <c r="T29" s="29">
        <v>4</v>
      </c>
      <c r="U29" s="28">
        <v>0</v>
      </c>
      <c r="V29" s="29">
        <v>1</v>
      </c>
      <c r="W29" s="26">
        <v>0</v>
      </c>
      <c r="X29" s="27">
        <v>4</v>
      </c>
      <c r="Y29" s="28">
        <v>0</v>
      </c>
      <c r="Z29" s="29">
        <v>3</v>
      </c>
    </row>
    <row r="30" spans="1:26" s="5" customFormat="1" ht="16.5" customHeight="1" thickBot="1">
      <c r="A30" s="10"/>
      <c r="B30" s="11" t="s">
        <v>13</v>
      </c>
      <c r="C30" s="49">
        <v>3</v>
      </c>
      <c r="D30" s="83">
        <v>50</v>
      </c>
      <c r="E30" s="46">
        <v>0</v>
      </c>
      <c r="F30" s="37">
        <v>7</v>
      </c>
      <c r="G30" s="38">
        <v>0</v>
      </c>
      <c r="H30" s="35">
        <v>0</v>
      </c>
      <c r="I30" s="36">
        <v>0</v>
      </c>
      <c r="J30" s="37">
        <v>0</v>
      </c>
      <c r="K30" s="38">
        <v>1</v>
      </c>
      <c r="L30" s="35">
        <v>5</v>
      </c>
      <c r="M30" s="36">
        <v>0</v>
      </c>
      <c r="N30" s="37">
        <v>9</v>
      </c>
      <c r="O30" s="38">
        <v>0</v>
      </c>
      <c r="P30" s="35">
        <v>2</v>
      </c>
      <c r="Q30" s="36">
        <v>2</v>
      </c>
      <c r="R30" s="37">
        <v>5</v>
      </c>
      <c r="S30" s="21">
        <v>0</v>
      </c>
      <c r="T30" s="39">
        <v>8</v>
      </c>
      <c r="U30" s="38">
        <v>0</v>
      </c>
      <c r="V30" s="39">
        <v>4</v>
      </c>
      <c r="W30" s="36">
        <v>0</v>
      </c>
      <c r="X30" s="37">
        <v>1</v>
      </c>
      <c r="Y30" s="38">
        <v>0</v>
      </c>
      <c r="Z30" s="39">
        <v>9</v>
      </c>
    </row>
    <row r="31" spans="1:26" s="5" customFormat="1" ht="16.5" customHeight="1" thickTop="1">
      <c r="A31" s="15" t="s">
        <v>54</v>
      </c>
      <c r="B31" s="16" t="s">
        <v>2</v>
      </c>
      <c r="C31" s="54">
        <v>1</v>
      </c>
      <c r="D31" s="55">
        <v>48</v>
      </c>
      <c r="E31" s="45">
        <v>0</v>
      </c>
      <c r="F31" s="32">
        <v>9</v>
      </c>
      <c r="G31" s="33">
        <v>0</v>
      </c>
      <c r="H31" s="30">
        <v>0</v>
      </c>
      <c r="I31" s="31">
        <v>0</v>
      </c>
      <c r="J31" s="32">
        <v>0</v>
      </c>
      <c r="K31" s="33">
        <v>0</v>
      </c>
      <c r="L31" s="30">
        <v>5</v>
      </c>
      <c r="M31" s="31">
        <v>0</v>
      </c>
      <c r="N31" s="32">
        <v>5</v>
      </c>
      <c r="O31" s="33">
        <v>1</v>
      </c>
      <c r="P31" s="30">
        <v>1</v>
      </c>
      <c r="Q31" s="31">
        <v>0</v>
      </c>
      <c r="R31" s="32">
        <v>4</v>
      </c>
      <c r="S31" s="20">
        <v>0</v>
      </c>
      <c r="T31" s="34">
        <v>4</v>
      </c>
      <c r="U31" s="33">
        <v>0</v>
      </c>
      <c r="V31" s="34">
        <v>3</v>
      </c>
      <c r="W31" s="31">
        <v>0</v>
      </c>
      <c r="X31" s="32">
        <v>2</v>
      </c>
      <c r="Y31" s="33">
        <v>0</v>
      </c>
      <c r="Z31" s="34">
        <v>16</v>
      </c>
    </row>
    <row r="32" spans="1:26" s="5" customFormat="1" ht="16.5" customHeight="1">
      <c r="A32" s="8"/>
      <c r="B32" s="9" t="s">
        <v>3</v>
      </c>
      <c r="C32" s="54">
        <v>0</v>
      </c>
      <c r="D32" s="55">
        <v>53</v>
      </c>
      <c r="E32" s="43">
        <v>0</v>
      </c>
      <c r="F32" s="27">
        <v>12</v>
      </c>
      <c r="G32" s="28">
        <v>0</v>
      </c>
      <c r="H32" s="25">
        <v>0</v>
      </c>
      <c r="I32" s="26">
        <v>0</v>
      </c>
      <c r="J32" s="27">
        <v>0</v>
      </c>
      <c r="K32" s="28">
        <v>0</v>
      </c>
      <c r="L32" s="25">
        <v>9</v>
      </c>
      <c r="M32" s="26">
        <v>0</v>
      </c>
      <c r="N32" s="27">
        <v>5</v>
      </c>
      <c r="O32" s="28">
        <v>0</v>
      </c>
      <c r="P32" s="25">
        <v>1</v>
      </c>
      <c r="Q32" s="26">
        <v>0</v>
      </c>
      <c r="R32" s="27">
        <v>3</v>
      </c>
      <c r="S32" s="19">
        <v>0</v>
      </c>
      <c r="T32" s="29">
        <v>12</v>
      </c>
      <c r="U32" s="28">
        <v>0</v>
      </c>
      <c r="V32" s="29">
        <v>0</v>
      </c>
      <c r="W32" s="26">
        <v>0</v>
      </c>
      <c r="X32" s="27">
        <v>1</v>
      </c>
      <c r="Y32" s="28">
        <v>0</v>
      </c>
      <c r="Z32" s="29">
        <v>10</v>
      </c>
    </row>
    <row r="33" spans="1:26" s="5" customFormat="1" ht="16.5" customHeight="1">
      <c r="A33" s="8"/>
      <c r="B33" s="9" t="s">
        <v>4</v>
      </c>
      <c r="C33" s="54">
        <v>2</v>
      </c>
      <c r="D33" s="55">
        <v>33</v>
      </c>
      <c r="E33" s="43">
        <v>0</v>
      </c>
      <c r="F33" s="27">
        <v>10</v>
      </c>
      <c r="G33" s="28">
        <v>0</v>
      </c>
      <c r="H33" s="25">
        <v>0</v>
      </c>
      <c r="I33" s="26">
        <v>0</v>
      </c>
      <c r="J33" s="27">
        <v>0</v>
      </c>
      <c r="K33" s="28">
        <v>0</v>
      </c>
      <c r="L33" s="25">
        <v>0</v>
      </c>
      <c r="M33" s="26">
        <v>2</v>
      </c>
      <c r="N33" s="27">
        <v>6</v>
      </c>
      <c r="O33" s="28">
        <v>0</v>
      </c>
      <c r="P33" s="25">
        <v>1</v>
      </c>
      <c r="Q33" s="26">
        <v>0</v>
      </c>
      <c r="R33" s="27">
        <v>3</v>
      </c>
      <c r="S33" s="19">
        <v>0</v>
      </c>
      <c r="T33" s="29">
        <v>5</v>
      </c>
      <c r="U33" s="28">
        <v>0</v>
      </c>
      <c r="V33" s="29">
        <v>1</v>
      </c>
      <c r="W33" s="26">
        <v>0</v>
      </c>
      <c r="X33" s="27">
        <v>2</v>
      </c>
      <c r="Y33" s="28">
        <v>0</v>
      </c>
      <c r="Z33" s="29">
        <v>5</v>
      </c>
    </row>
    <row r="34" spans="1:26" s="5" customFormat="1" ht="16.5" customHeight="1">
      <c r="A34" s="8"/>
      <c r="B34" s="9" t="s">
        <v>5</v>
      </c>
      <c r="C34" s="54">
        <v>0</v>
      </c>
      <c r="D34" s="55">
        <v>42</v>
      </c>
      <c r="E34" s="43">
        <v>0</v>
      </c>
      <c r="F34" s="27">
        <v>5</v>
      </c>
      <c r="G34" s="28">
        <v>0</v>
      </c>
      <c r="H34" s="25">
        <v>2</v>
      </c>
      <c r="I34" s="26">
        <v>0</v>
      </c>
      <c r="J34" s="27">
        <v>0</v>
      </c>
      <c r="K34" s="28">
        <v>0</v>
      </c>
      <c r="L34" s="25">
        <v>4</v>
      </c>
      <c r="M34" s="26">
        <v>0</v>
      </c>
      <c r="N34" s="27">
        <v>4</v>
      </c>
      <c r="O34" s="28">
        <v>0</v>
      </c>
      <c r="P34" s="25">
        <v>1</v>
      </c>
      <c r="Q34" s="26">
        <v>0</v>
      </c>
      <c r="R34" s="27">
        <v>6</v>
      </c>
      <c r="S34" s="19">
        <v>0</v>
      </c>
      <c r="T34" s="29">
        <v>6</v>
      </c>
      <c r="U34" s="28">
        <v>0</v>
      </c>
      <c r="V34" s="29">
        <v>2</v>
      </c>
      <c r="W34" s="26">
        <v>0</v>
      </c>
      <c r="X34" s="27">
        <v>1</v>
      </c>
      <c r="Y34" s="28">
        <v>0</v>
      </c>
      <c r="Z34" s="29">
        <v>11</v>
      </c>
    </row>
    <row r="35" spans="1:26" s="5" customFormat="1" ht="16.5" customHeight="1">
      <c r="A35" s="8"/>
      <c r="B35" s="9" t="s">
        <v>6</v>
      </c>
      <c r="C35" s="54">
        <v>1</v>
      </c>
      <c r="D35" s="55">
        <v>44</v>
      </c>
      <c r="E35" s="43">
        <v>1</v>
      </c>
      <c r="F35" s="27">
        <v>10</v>
      </c>
      <c r="G35" s="28">
        <v>0</v>
      </c>
      <c r="H35" s="25">
        <v>0</v>
      </c>
      <c r="I35" s="26">
        <v>0</v>
      </c>
      <c r="J35" s="27">
        <v>0</v>
      </c>
      <c r="K35" s="28">
        <v>0</v>
      </c>
      <c r="L35" s="25">
        <v>7</v>
      </c>
      <c r="M35" s="26">
        <v>0</v>
      </c>
      <c r="N35" s="27">
        <v>1</v>
      </c>
      <c r="O35" s="28">
        <v>0</v>
      </c>
      <c r="P35" s="25">
        <v>0</v>
      </c>
      <c r="Q35" s="26">
        <v>0</v>
      </c>
      <c r="R35" s="27">
        <v>2</v>
      </c>
      <c r="S35" s="19">
        <v>0</v>
      </c>
      <c r="T35" s="29">
        <v>7</v>
      </c>
      <c r="U35" s="28">
        <v>0</v>
      </c>
      <c r="V35" s="29">
        <v>1</v>
      </c>
      <c r="W35" s="26">
        <v>0</v>
      </c>
      <c r="X35" s="27">
        <v>3</v>
      </c>
      <c r="Y35" s="28">
        <v>0</v>
      </c>
      <c r="Z35" s="29">
        <v>13</v>
      </c>
    </row>
    <row r="36" spans="1:26" s="61" customFormat="1" ht="16.5" customHeight="1">
      <c r="A36" s="52"/>
      <c r="B36" s="53" t="s">
        <v>7</v>
      </c>
      <c r="C36" s="54">
        <v>0</v>
      </c>
      <c r="D36" s="55">
        <v>31</v>
      </c>
      <c r="E36" s="43">
        <v>0</v>
      </c>
      <c r="F36" s="57">
        <v>4</v>
      </c>
      <c r="G36" s="28">
        <v>0</v>
      </c>
      <c r="H36" s="25">
        <v>0</v>
      </c>
      <c r="I36" s="26">
        <v>0</v>
      </c>
      <c r="J36" s="27">
        <v>0</v>
      </c>
      <c r="K36" s="28">
        <v>0</v>
      </c>
      <c r="L36" s="55">
        <v>2</v>
      </c>
      <c r="M36" s="26">
        <v>0</v>
      </c>
      <c r="N36" s="57">
        <v>7</v>
      </c>
      <c r="O36" s="28">
        <v>0</v>
      </c>
      <c r="P36" s="55">
        <v>1</v>
      </c>
      <c r="Q36" s="26">
        <v>0</v>
      </c>
      <c r="R36" s="27">
        <v>3</v>
      </c>
      <c r="S36" s="19">
        <v>0</v>
      </c>
      <c r="T36" s="60">
        <v>2</v>
      </c>
      <c r="U36" s="58">
        <v>0</v>
      </c>
      <c r="V36" s="60">
        <v>2</v>
      </c>
      <c r="W36" s="26">
        <v>0</v>
      </c>
      <c r="X36" s="27">
        <v>4</v>
      </c>
      <c r="Y36" s="28">
        <v>0</v>
      </c>
      <c r="Z36" s="60">
        <v>6</v>
      </c>
    </row>
    <row r="37" spans="1:26" s="61" customFormat="1" ht="16.5" customHeight="1">
      <c r="A37" s="52"/>
      <c r="B37" s="53" t="s">
        <v>8</v>
      </c>
      <c r="C37" s="54">
        <v>0</v>
      </c>
      <c r="D37" s="55">
        <v>43</v>
      </c>
      <c r="E37" s="56">
        <v>0</v>
      </c>
      <c r="F37" s="57">
        <v>7</v>
      </c>
      <c r="G37" s="58">
        <v>0</v>
      </c>
      <c r="H37" s="55">
        <v>0</v>
      </c>
      <c r="I37" s="59">
        <v>0</v>
      </c>
      <c r="J37" s="57">
        <v>0</v>
      </c>
      <c r="K37" s="58">
        <v>0</v>
      </c>
      <c r="L37" s="55">
        <v>9</v>
      </c>
      <c r="M37" s="59">
        <v>0</v>
      </c>
      <c r="N37" s="57">
        <v>3</v>
      </c>
      <c r="O37" s="58">
        <v>0</v>
      </c>
      <c r="P37" s="55">
        <v>3</v>
      </c>
      <c r="Q37" s="59">
        <v>0</v>
      </c>
      <c r="R37" s="57">
        <v>3</v>
      </c>
      <c r="S37" s="54">
        <v>0</v>
      </c>
      <c r="T37" s="60">
        <v>9</v>
      </c>
      <c r="U37" s="58">
        <v>0</v>
      </c>
      <c r="V37" s="60">
        <v>0</v>
      </c>
      <c r="W37" s="59">
        <v>0</v>
      </c>
      <c r="X37" s="57">
        <v>0</v>
      </c>
      <c r="Y37" s="58">
        <v>0</v>
      </c>
      <c r="Z37" s="60">
        <v>9</v>
      </c>
    </row>
    <row r="38" spans="1:26" s="5" customFormat="1" ht="16.5" customHeight="1">
      <c r="A38" s="8"/>
      <c r="B38" s="9" t="s">
        <v>9</v>
      </c>
      <c r="C38" s="19">
        <v>0</v>
      </c>
      <c r="D38" s="25">
        <v>46</v>
      </c>
      <c r="E38" s="43">
        <v>0</v>
      </c>
      <c r="F38" s="27">
        <v>9</v>
      </c>
      <c r="G38" s="28">
        <v>0</v>
      </c>
      <c r="H38" s="25">
        <v>0</v>
      </c>
      <c r="I38" s="26">
        <v>0</v>
      </c>
      <c r="J38" s="27">
        <v>0</v>
      </c>
      <c r="K38" s="28">
        <v>0</v>
      </c>
      <c r="L38" s="25">
        <v>6</v>
      </c>
      <c r="M38" s="26">
        <v>0</v>
      </c>
      <c r="N38" s="27">
        <v>4</v>
      </c>
      <c r="O38" s="28">
        <v>0</v>
      </c>
      <c r="P38" s="25">
        <v>1</v>
      </c>
      <c r="Q38" s="26">
        <v>0</v>
      </c>
      <c r="R38" s="27">
        <v>1</v>
      </c>
      <c r="S38" s="19">
        <v>0</v>
      </c>
      <c r="T38" s="29">
        <v>7</v>
      </c>
      <c r="U38" s="28">
        <v>0</v>
      </c>
      <c r="V38" s="29">
        <v>2</v>
      </c>
      <c r="W38" s="26">
        <v>0</v>
      </c>
      <c r="X38" s="27">
        <v>2</v>
      </c>
      <c r="Y38" s="28">
        <v>0</v>
      </c>
      <c r="Z38" s="29">
        <v>14</v>
      </c>
    </row>
    <row r="39" spans="1:26" s="5" customFormat="1" ht="16.5" customHeight="1">
      <c r="A39" s="8"/>
      <c r="B39" s="9" t="s">
        <v>10</v>
      </c>
      <c r="C39" s="19">
        <v>0</v>
      </c>
      <c r="D39" s="25">
        <v>26</v>
      </c>
      <c r="E39" s="43">
        <v>0</v>
      </c>
      <c r="F39" s="27">
        <v>9</v>
      </c>
      <c r="G39" s="28">
        <v>0</v>
      </c>
      <c r="H39" s="25">
        <v>0</v>
      </c>
      <c r="I39" s="26">
        <v>0</v>
      </c>
      <c r="J39" s="27">
        <v>0</v>
      </c>
      <c r="K39" s="28">
        <v>0</v>
      </c>
      <c r="L39" s="25">
        <v>5</v>
      </c>
      <c r="M39" s="26">
        <v>0</v>
      </c>
      <c r="N39" s="27">
        <v>2</v>
      </c>
      <c r="O39" s="28">
        <v>0</v>
      </c>
      <c r="P39" s="25">
        <v>0</v>
      </c>
      <c r="Q39" s="26">
        <v>0</v>
      </c>
      <c r="R39" s="27">
        <v>2</v>
      </c>
      <c r="S39" s="19">
        <v>0</v>
      </c>
      <c r="T39" s="29">
        <v>2</v>
      </c>
      <c r="U39" s="28">
        <v>0</v>
      </c>
      <c r="V39" s="29">
        <v>2</v>
      </c>
      <c r="W39" s="26">
        <v>0</v>
      </c>
      <c r="X39" s="27">
        <v>1</v>
      </c>
      <c r="Y39" s="28">
        <v>0</v>
      </c>
      <c r="Z39" s="29">
        <v>3</v>
      </c>
    </row>
    <row r="40" spans="1:26" s="5" customFormat="1" ht="16.5" customHeight="1">
      <c r="A40" s="8"/>
      <c r="B40" s="9" t="s">
        <v>11</v>
      </c>
      <c r="C40" s="19">
        <v>0</v>
      </c>
      <c r="D40" s="25">
        <v>40</v>
      </c>
      <c r="E40" s="43">
        <v>0</v>
      </c>
      <c r="F40" s="27">
        <v>8</v>
      </c>
      <c r="G40" s="28">
        <v>0</v>
      </c>
      <c r="H40" s="25">
        <v>0</v>
      </c>
      <c r="I40" s="26">
        <v>0</v>
      </c>
      <c r="J40" s="27">
        <v>0</v>
      </c>
      <c r="K40" s="28">
        <v>0</v>
      </c>
      <c r="L40" s="25">
        <v>7</v>
      </c>
      <c r="M40" s="26">
        <v>0</v>
      </c>
      <c r="N40" s="27">
        <v>5</v>
      </c>
      <c r="O40" s="28">
        <v>0</v>
      </c>
      <c r="P40" s="25">
        <v>0</v>
      </c>
      <c r="Q40" s="26">
        <v>0</v>
      </c>
      <c r="R40" s="27">
        <v>4</v>
      </c>
      <c r="S40" s="19">
        <v>0</v>
      </c>
      <c r="T40" s="29">
        <v>5</v>
      </c>
      <c r="U40" s="28">
        <v>0</v>
      </c>
      <c r="V40" s="29">
        <v>2</v>
      </c>
      <c r="W40" s="26">
        <v>0</v>
      </c>
      <c r="X40" s="27">
        <v>2</v>
      </c>
      <c r="Y40" s="28">
        <v>0</v>
      </c>
      <c r="Z40" s="29">
        <v>7</v>
      </c>
    </row>
    <row r="41" spans="1:26" s="5" customFormat="1" ht="16.5" customHeight="1">
      <c r="A41" s="8"/>
      <c r="B41" s="9" t="s">
        <v>12</v>
      </c>
      <c r="C41" s="19">
        <v>0</v>
      </c>
      <c r="D41" s="25">
        <v>44</v>
      </c>
      <c r="E41" s="43">
        <v>0</v>
      </c>
      <c r="F41" s="27">
        <v>14</v>
      </c>
      <c r="G41" s="28">
        <v>0</v>
      </c>
      <c r="H41" s="25">
        <v>0</v>
      </c>
      <c r="I41" s="26">
        <v>0</v>
      </c>
      <c r="J41" s="27">
        <v>0</v>
      </c>
      <c r="K41" s="28">
        <v>0</v>
      </c>
      <c r="L41" s="25">
        <v>6</v>
      </c>
      <c r="M41" s="26">
        <v>0</v>
      </c>
      <c r="N41" s="27">
        <v>5</v>
      </c>
      <c r="O41" s="28">
        <v>0</v>
      </c>
      <c r="P41" s="25">
        <v>1</v>
      </c>
      <c r="Q41" s="26">
        <v>0</v>
      </c>
      <c r="R41" s="27">
        <v>4</v>
      </c>
      <c r="S41" s="19">
        <v>0</v>
      </c>
      <c r="T41" s="29">
        <v>4</v>
      </c>
      <c r="U41" s="28">
        <v>0</v>
      </c>
      <c r="V41" s="29">
        <v>2</v>
      </c>
      <c r="W41" s="26">
        <v>0</v>
      </c>
      <c r="X41" s="27">
        <v>1</v>
      </c>
      <c r="Y41" s="28">
        <v>0</v>
      </c>
      <c r="Z41" s="29">
        <v>7</v>
      </c>
    </row>
    <row r="42" spans="1:26" s="5" customFormat="1" ht="16.5" customHeight="1">
      <c r="A42" s="10"/>
      <c r="B42" s="11" t="s">
        <v>13</v>
      </c>
      <c r="C42" s="21">
        <v>1</v>
      </c>
      <c r="D42" s="35">
        <v>48</v>
      </c>
      <c r="E42" s="46">
        <v>0</v>
      </c>
      <c r="F42" s="37">
        <v>4</v>
      </c>
      <c r="G42" s="38">
        <v>0</v>
      </c>
      <c r="H42" s="35">
        <v>1</v>
      </c>
      <c r="I42" s="36">
        <v>0</v>
      </c>
      <c r="J42" s="37">
        <v>1</v>
      </c>
      <c r="K42" s="38">
        <v>1</v>
      </c>
      <c r="L42" s="35">
        <v>11</v>
      </c>
      <c r="M42" s="36">
        <v>0</v>
      </c>
      <c r="N42" s="37">
        <v>10</v>
      </c>
      <c r="O42" s="38">
        <v>0</v>
      </c>
      <c r="P42" s="35">
        <v>1</v>
      </c>
      <c r="Q42" s="36">
        <v>0</v>
      </c>
      <c r="R42" s="37">
        <v>1</v>
      </c>
      <c r="S42" s="21">
        <v>0</v>
      </c>
      <c r="T42" s="39">
        <v>7</v>
      </c>
      <c r="U42" s="38">
        <v>0</v>
      </c>
      <c r="V42" s="39">
        <v>0</v>
      </c>
      <c r="W42" s="36">
        <v>0</v>
      </c>
      <c r="X42" s="37">
        <v>3</v>
      </c>
      <c r="Y42" s="38">
        <v>0</v>
      </c>
      <c r="Z42" s="39">
        <v>9</v>
      </c>
    </row>
    <row r="43" spans="1:26" s="5" customFormat="1" ht="16.5" customHeight="1" thickBot="1">
      <c r="A43" s="64" t="s">
        <v>37</v>
      </c>
      <c r="B43" s="6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s="5" customFormat="1" ht="16.5" customHeight="1">
      <c r="A44" s="95" t="str">
        <f>"2018（平成30）年"&amp;COUNTA(E31:E42)&amp;"月迄"</f>
        <v>2018（平成30）年12月迄</v>
      </c>
      <c r="B44" s="96"/>
      <c r="C44" s="76">
        <f>SUM(C31:C42)</f>
        <v>5</v>
      </c>
      <c r="D44" s="77">
        <f>SUM(D31:D42)</f>
        <v>498</v>
      </c>
      <c r="E44" s="77">
        <f>SUM(E31:E42)</f>
        <v>1</v>
      </c>
      <c r="F44" s="77">
        <f aca="true" t="shared" si="0" ref="F44:Z44">SUM(F31:F42)</f>
        <v>101</v>
      </c>
      <c r="G44" s="77">
        <f>SUM(G31:G42)</f>
        <v>0</v>
      </c>
      <c r="H44" s="77">
        <f t="shared" si="0"/>
        <v>3</v>
      </c>
      <c r="I44" s="77">
        <f t="shared" si="0"/>
        <v>0</v>
      </c>
      <c r="J44" s="78">
        <f t="shared" si="0"/>
        <v>1</v>
      </c>
      <c r="K44" s="77">
        <f t="shared" si="0"/>
        <v>1</v>
      </c>
      <c r="L44" s="77">
        <f t="shared" si="0"/>
        <v>71</v>
      </c>
      <c r="M44" s="77">
        <f t="shared" si="0"/>
        <v>2</v>
      </c>
      <c r="N44" s="77">
        <f t="shared" si="0"/>
        <v>57</v>
      </c>
      <c r="O44" s="77">
        <f t="shared" si="0"/>
        <v>1</v>
      </c>
      <c r="P44" s="77">
        <f t="shared" si="0"/>
        <v>11</v>
      </c>
      <c r="Q44" s="77">
        <f t="shared" si="0"/>
        <v>0</v>
      </c>
      <c r="R44" s="77">
        <f t="shared" si="0"/>
        <v>36</v>
      </c>
      <c r="S44" s="76">
        <f t="shared" si="0"/>
        <v>0</v>
      </c>
      <c r="T44" s="77">
        <f t="shared" si="0"/>
        <v>70</v>
      </c>
      <c r="U44" s="77">
        <f t="shared" si="0"/>
        <v>0</v>
      </c>
      <c r="V44" s="77">
        <f t="shared" si="0"/>
        <v>17</v>
      </c>
      <c r="W44" s="77">
        <f t="shared" si="0"/>
        <v>0</v>
      </c>
      <c r="X44" s="77">
        <f t="shared" si="0"/>
        <v>22</v>
      </c>
      <c r="Y44" s="77">
        <f t="shared" si="0"/>
        <v>0</v>
      </c>
      <c r="Z44" s="79">
        <f t="shared" si="0"/>
        <v>110</v>
      </c>
    </row>
    <row r="45" spans="1:26" s="5" customFormat="1" ht="16.5" customHeight="1">
      <c r="A45" s="97" t="str">
        <f>"前年"&amp;COUNTA(E31:E42)&amp;"月迄"</f>
        <v>前年12月迄</v>
      </c>
      <c r="B45" s="98"/>
      <c r="C45" s="80">
        <f ca="1">SUM(C19:(INDIRECT("c"&amp;COUNT($E31:$E42)+18)))</f>
        <v>7</v>
      </c>
      <c r="D45" s="80">
        <f ca="1">SUM(D19:(INDIRECT("d"&amp;COUNT($E31:$E42)+18)))</f>
        <v>474</v>
      </c>
      <c r="E45" s="80">
        <f ca="1">SUM(E19:(INDIRECT("e"&amp;COUNT($E31:$E42)+18)))</f>
        <v>0</v>
      </c>
      <c r="F45" s="80">
        <f ca="1">SUM(F19:(INDIRECT("f"&amp;COUNT($E31:$E42)+18)))</f>
        <v>109</v>
      </c>
      <c r="G45" s="80">
        <f ca="1">SUM(G19:(INDIRECT("ｇ"&amp;COUNT($E31:$E42)+18)))</f>
        <v>0</v>
      </c>
      <c r="H45" s="80">
        <f ca="1">SUM(H19:(INDIRECT("ｈ"&amp;COUNT($E31:$E42)+18)))</f>
        <v>0</v>
      </c>
      <c r="I45" s="80">
        <f ca="1">SUM(I19:(INDIRECT("i"&amp;COUNT($E31:$E42)+18)))</f>
        <v>0</v>
      </c>
      <c r="J45" s="80">
        <f ca="1">SUM(J19:(INDIRECT("j"&amp;COUNT($E31:$E42)+18)))</f>
        <v>5</v>
      </c>
      <c r="K45" s="80">
        <f ca="1">SUM(K19:(INDIRECT("k"&amp;COUNT($E31:$E42)+18)))</f>
        <v>1</v>
      </c>
      <c r="L45" s="80">
        <f ca="1">SUM(L19:(INDIRECT("l"&amp;COUNT($E31:$E42)+18)))</f>
        <v>64</v>
      </c>
      <c r="M45" s="80">
        <f ca="1">SUM(M19:(INDIRECT("m"&amp;COUNT($E31:$E42)+18)))</f>
        <v>1</v>
      </c>
      <c r="N45" s="80">
        <f ca="1">SUM(N19:(INDIRECT("n"&amp;COUNT($E31:$E42)+18)))</f>
        <v>66</v>
      </c>
      <c r="O45" s="80">
        <f ca="1">SUM(O19:(INDIRECT("o"&amp;COUNT($E31:$E42)+18)))</f>
        <v>0</v>
      </c>
      <c r="P45" s="80">
        <f ca="1">SUM(P19:(INDIRECT("p"&amp;COUNT($E31:$E42)+18)))</f>
        <v>6</v>
      </c>
      <c r="Q45" s="80">
        <f ca="1">SUM(Q19:(INDIRECT("q"&amp;COUNT($E31:$E42)+18)))</f>
        <v>3</v>
      </c>
      <c r="R45" s="80">
        <f ca="1">SUM(R19:(INDIRECT("r"&amp;COUNT($E31:$E42)+18)))</f>
        <v>52</v>
      </c>
      <c r="S45" s="80">
        <f ca="1">SUM(S19:(INDIRECT("s"&amp;COUNT($E31:$E42)+18)))</f>
        <v>0</v>
      </c>
      <c r="T45" s="80">
        <f ca="1">SUM(T19:(INDIRECT("t"&amp;COUNT($E31:$E42)+18)))</f>
        <v>53</v>
      </c>
      <c r="U45" s="80">
        <f ca="1">SUM(U19:(INDIRECT("u"&amp;COUNT($E31:$E42)+18)))</f>
        <v>0</v>
      </c>
      <c r="V45" s="80">
        <f ca="1">SUM(V19:(INDIRECT("v"&amp;COUNT($E31:$E42)+18)))</f>
        <v>22</v>
      </c>
      <c r="W45" s="80">
        <f ca="1">SUM(W19:(INDIRECT("w"&amp;COUNT($E31:$E42)+18)))</f>
        <v>0</v>
      </c>
      <c r="X45" s="80">
        <f ca="1">SUM(X19:(INDIRECT("x"&amp;COUNT($E31:$E42)+18)))</f>
        <v>18</v>
      </c>
      <c r="Y45" s="80">
        <f ca="1">SUM(Y19:(INDIRECT("y"&amp;COUNT($E31:$E42)+18)))</f>
        <v>2</v>
      </c>
      <c r="Z45" s="81">
        <f ca="1">SUM(Z19:(INDIRECT("z"&amp;COUNT($E31:$E42)+18)))</f>
        <v>79</v>
      </c>
    </row>
    <row r="46" spans="1:26" s="5" customFormat="1" ht="16.5" customHeight="1" thickBot="1">
      <c r="A46" s="99" t="s">
        <v>36</v>
      </c>
      <c r="B46" s="100"/>
      <c r="C46" s="82">
        <f>C44-C45</f>
        <v>-2</v>
      </c>
      <c r="D46" s="62">
        <f aca="true" t="shared" si="1" ref="D46:Z46">D44-D45</f>
        <v>24</v>
      </c>
      <c r="E46" s="62">
        <f t="shared" si="1"/>
        <v>1</v>
      </c>
      <c r="F46" s="62">
        <f t="shared" si="1"/>
        <v>-8</v>
      </c>
      <c r="G46" s="62">
        <f t="shared" si="1"/>
        <v>0</v>
      </c>
      <c r="H46" s="62">
        <f t="shared" si="1"/>
        <v>3</v>
      </c>
      <c r="I46" s="62">
        <f t="shared" si="1"/>
        <v>0</v>
      </c>
      <c r="J46" s="66">
        <f t="shared" si="1"/>
        <v>-4</v>
      </c>
      <c r="K46" s="62">
        <f t="shared" si="1"/>
        <v>0</v>
      </c>
      <c r="L46" s="62">
        <f t="shared" si="1"/>
        <v>7</v>
      </c>
      <c r="M46" s="62">
        <f t="shared" si="1"/>
        <v>1</v>
      </c>
      <c r="N46" s="62">
        <f t="shared" si="1"/>
        <v>-9</v>
      </c>
      <c r="O46" s="62">
        <f t="shared" si="1"/>
        <v>1</v>
      </c>
      <c r="P46" s="62">
        <f t="shared" si="1"/>
        <v>5</v>
      </c>
      <c r="Q46" s="62">
        <f t="shared" si="1"/>
        <v>-3</v>
      </c>
      <c r="R46" s="62">
        <f t="shared" si="1"/>
        <v>-16</v>
      </c>
      <c r="S46" s="82">
        <f t="shared" si="1"/>
        <v>0</v>
      </c>
      <c r="T46" s="62">
        <f t="shared" si="1"/>
        <v>17</v>
      </c>
      <c r="U46" s="62">
        <f t="shared" si="1"/>
        <v>0</v>
      </c>
      <c r="V46" s="62">
        <f t="shared" si="1"/>
        <v>-5</v>
      </c>
      <c r="W46" s="62">
        <f t="shared" si="1"/>
        <v>0</v>
      </c>
      <c r="X46" s="62">
        <f t="shared" si="1"/>
        <v>4</v>
      </c>
      <c r="Y46" s="62">
        <f t="shared" si="1"/>
        <v>-2</v>
      </c>
      <c r="Z46" s="63">
        <f t="shared" si="1"/>
        <v>31</v>
      </c>
    </row>
    <row r="47" s="5" customFormat="1" ht="16.5" customHeight="1">
      <c r="A47" s="5" t="s">
        <v>28</v>
      </c>
    </row>
    <row r="48" s="2" customFormat="1" ht="16.5" customHeight="1">
      <c r="A48" s="5" t="s">
        <v>38</v>
      </c>
    </row>
    <row r="49" s="5" customFormat="1" ht="16.5" customHeight="1">
      <c r="A49" s="5" t="s">
        <v>30</v>
      </c>
    </row>
    <row r="50" s="5" customFormat="1" ht="16.5" customHeight="1">
      <c r="B50" s="5" t="s">
        <v>31</v>
      </c>
    </row>
    <row r="51" s="5" customFormat="1" ht="16.5" customHeight="1">
      <c r="B51" s="5" t="s">
        <v>32</v>
      </c>
    </row>
    <row r="52" s="5" customFormat="1" ht="16.5" customHeight="1">
      <c r="B52" s="5" t="s">
        <v>33</v>
      </c>
    </row>
    <row r="53" s="5" customFormat="1" ht="16.5" customHeight="1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</sheetData>
  <sheetProtection/>
  <mergeCells count="16">
    <mergeCell ref="A4:B5"/>
    <mergeCell ref="C4:D4"/>
    <mergeCell ref="E4:F4"/>
    <mergeCell ref="G4:H4"/>
    <mergeCell ref="I4:J4"/>
    <mergeCell ref="K4:L4"/>
    <mergeCell ref="Y4:Z4"/>
    <mergeCell ref="A44:B44"/>
    <mergeCell ref="A45:B45"/>
    <mergeCell ref="A46:B46"/>
    <mergeCell ref="M4:N4"/>
    <mergeCell ref="O4:P4"/>
    <mergeCell ref="Q4:R4"/>
    <mergeCell ref="S4:T4"/>
    <mergeCell ref="U4:V4"/>
    <mergeCell ref="W4:X4"/>
  </mergeCells>
  <conditionalFormatting sqref="C44:Z46">
    <cfRule type="cellIs" priority="1" dxfId="18" operator="lessThan" stopIfTrue="1">
      <formula>0</formula>
    </cfRule>
    <cfRule type="cellIs" priority="2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55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>
      <c r="A13" s="8" t="s">
        <v>47</v>
      </c>
      <c r="B13" s="14" t="s">
        <v>1</v>
      </c>
      <c r="C13" s="19">
        <v>6</v>
      </c>
      <c r="D13" s="25">
        <v>470</v>
      </c>
      <c r="E13" s="43">
        <v>0</v>
      </c>
      <c r="F13" s="29">
        <v>117</v>
      </c>
      <c r="G13" s="19">
        <v>0</v>
      </c>
      <c r="H13" s="25">
        <v>0</v>
      </c>
      <c r="I13" s="19">
        <v>0</v>
      </c>
      <c r="J13" s="25">
        <v>1</v>
      </c>
      <c r="K13" s="19">
        <v>2</v>
      </c>
      <c r="L13" s="25">
        <v>65</v>
      </c>
      <c r="M13" s="19">
        <v>1</v>
      </c>
      <c r="N13" s="25">
        <v>52</v>
      </c>
      <c r="O13" s="19">
        <v>1</v>
      </c>
      <c r="P13" s="25">
        <v>12</v>
      </c>
      <c r="Q13" s="19">
        <v>1</v>
      </c>
      <c r="R13" s="25">
        <v>73</v>
      </c>
      <c r="S13" s="19">
        <v>1</v>
      </c>
      <c r="T13" s="25">
        <v>33</v>
      </c>
      <c r="U13" s="19">
        <v>0</v>
      </c>
      <c r="V13" s="29">
        <v>11</v>
      </c>
      <c r="W13" s="19">
        <v>0</v>
      </c>
      <c r="X13" s="25">
        <v>15</v>
      </c>
      <c r="Y13" s="19">
        <v>0</v>
      </c>
      <c r="Z13" s="29">
        <v>91</v>
      </c>
    </row>
    <row r="14" spans="1:26" s="14" customFormat="1" ht="18.75" customHeight="1">
      <c r="A14" s="8" t="s">
        <v>48</v>
      </c>
      <c r="B14" s="14" t="s">
        <v>1</v>
      </c>
      <c r="C14" s="19">
        <v>7</v>
      </c>
      <c r="D14" s="25">
        <v>502</v>
      </c>
      <c r="E14" s="43">
        <v>2</v>
      </c>
      <c r="F14" s="29">
        <v>119</v>
      </c>
      <c r="G14" s="19">
        <v>0</v>
      </c>
      <c r="H14" s="25">
        <v>0</v>
      </c>
      <c r="I14" s="19">
        <v>0</v>
      </c>
      <c r="J14" s="25">
        <v>2</v>
      </c>
      <c r="K14" s="19">
        <v>1</v>
      </c>
      <c r="L14" s="25">
        <v>87</v>
      </c>
      <c r="M14" s="19">
        <v>1</v>
      </c>
      <c r="N14" s="25">
        <v>54</v>
      </c>
      <c r="O14" s="19">
        <v>0</v>
      </c>
      <c r="P14" s="25">
        <v>8</v>
      </c>
      <c r="Q14" s="19">
        <v>2</v>
      </c>
      <c r="R14" s="25">
        <v>70</v>
      </c>
      <c r="S14" s="19">
        <v>0</v>
      </c>
      <c r="T14" s="25">
        <v>43</v>
      </c>
      <c r="U14" s="19">
        <v>0</v>
      </c>
      <c r="V14" s="29">
        <v>10</v>
      </c>
      <c r="W14" s="19">
        <v>0</v>
      </c>
      <c r="X14" s="25">
        <v>17</v>
      </c>
      <c r="Y14" s="19">
        <v>1</v>
      </c>
      <c r="Z14" s="29">
        <v>92</v>
      </c>
    </row>
    <row r="15" spans="1:26" s="14" customFormat="1" ht="18.75" customHeight="1">
      <c r="A15" s="8" t="s">
        <v>49</v>
      </c>
      <c r="B15" s="14" t="s">
        <v>1</v>
      </c>
      <c r="C15" s="19">
        <v>7</v>
      </c>
      <c r="D15" s="25">
        <v>549</v>
      </c>
      <c r="E15" s="43">
        <v>1</v>
      </c>
      <c r="F15" s="29">
        <v>135</v>
      </c>
      <c r="G15" s="19">
        <v>0</v>
      </c>
      <c r="H15" s="25">
        <v>1</v>
      </c>
      <c r="I15" s="19">
        <v>0</v>
      </c>
      <c r="J15" s="25">
        <v>1</v>
      </c>
      <c r="K15" s="19">
        <v>2</v>
      </c>
      <c r="L15" s="25">
        <v>82</v>
      </c>
      <c r="M15" s="19">
        <v>0</v>
      </c>
      <c r="N15" s="25">
        <v>65</v>
      </c>
      <c r="O15" s="19">
        <v>0</v>
      </c>
      <c r="P15" s="25">
        <v>13</v>
      </c>
      <c r="Q15" s="19">
        <v>1</v>
      </c>
      <c r="R15" s="25">
        <v>53</v>
      </c>
      <c r="S15" s="19">
        <v>1</v>
      </c>
      <c r="T15" s="25">
        <v>50</v>
      </c>
      <c r="U15" s="19">
        <v>0</v>
      </c>
      <c r="V15" s="29">
        <v>25</v>
      </c>
      <c r="W15" s="19">
        <v>1</v>
      </c>
      <c r="X15" s="25">
        <v>26</v>
      </c>
      <c r="Y15" s="19">
        <v>1</v>
      </c>
      <c r="Z15" s="29">
        <v>98</v>
      </c>
    </row>
    <row r="16" spans="1:26" s="14" customFormat="1" ht="18.75" customHeight="1">
      <c r="A16" s="8" t="s">
        <v>50</v>
      </c>
      <c r="B16" s="14" t="s">
        <v>1</v>
      </c>
      <c r="C16" s="19">
        <v>7</v>
      </c>
      <c r="D16" s="25">
        <v>538</v>
      </c>
      <c r="E16" s="43">
        <v>0</v>
      </c>
      <c r="F16" s="29">
        <v>124</v>
      </c>
      <c r="G16" s="19">
        <v>0</v>
      </c>
      <c r="H16" s="25">
        <v>0</v>
      </c>
      <c r="I16" s="19">
        <v>0</v>
      </c>
      <c r="J16" s="25">
        <v>3</v>
      </c>
      <c r="K16" s="19">
        <v>2</v>
      </c>
      <c r="L16" s="25">
        <v>93</v>
      </c>
      <c r="M16" s="19">
        <v>1</v>
      </c>
      <c r="N16" s="25">
        <v>64</v>
      </c>
      <c r="O16" s="19">
        <v>2</v>
      </c>
      <c r="P16" s="25">
        <v>7</v>
      </c>
      <c r="Q16" s="19">
        <v>0</v>
      </c>
      <c r="R16" s="25">
        <v>64</v>
      </c>
      <c r="S16" s="19">
        <v>0</v>
      </c>
      <c r="T16" s="25">
        <v>47</v>
      </c>
      <c r="U16" s="19">
        <v>1</v>
      </c>
      <c r="V16" s="29">
        <v>21</v>
      </c>
      <c r="W16" s="19">
        <v>0</v>
      </c>
      <c r="X16" s="25">
        <v>25</v>
      </c>
      <c r="Y16" s="19">
        <v>1</v>
      </c>
      <c r="Z16" s="29">
        <v>90</v>
      </c>
    </row>
    <row r="17" spans="1:26" s="14" customFormat="1" ht="18.75" customHeight="1" thickBot="1">
      <c r="A17" s="8" t="s">
        <v>51</v>
      </c>
      <c r="B17" s="14" t="s">
        <v>1</v>
      </c>
      <c r="C17" s="19">
        <v>5</v>
      </c>
      <c r="D17" s="25">
        <v>508</v>
      </c>
      <c r="E17" s="43">
        <v>0</v>
      </c>
      <c r="F17" s="27">
        <v>130</v>
      </c>
      <c r="G17" s="28">
        <v>0</v>
      </c>
      <c r="H17" s="25">
        <v>0</v>
      </c>
      <c r="I17" s="85">
        <v>0</v>
      </c>
      <c r="J17" s="40">
        <v>1</v>
      </c>
      <c r="K17" s="28">
        <v>3</v>
      </c>
      <c r="L17" s="25">
        <v>76</v>
      </c>
      <c r="M17" s="85">
        <v>2</v>
      </c>
      <c r="N17" s="84">
        <v>69</v>
      </c>
      <c r="O17" s="28">
        <v>0</v>
      </c>
      <c r="P17" s="25">
        <v>10</v>
      </c>
      <c r="Q17" s="85">
        <v>0</v>
      </c>
      <c r="R17" s="28">
        <v>72</v>
      </c>
      <c r="S17" s="85">
        <v>0</v>
      </c>
      <c r="T17" s="84">
        <v>36</v>
      </c>
      <c r="U17" s="28">
        <v>0</v>
      </c>
      <c r="V17" s="29">
        <v>14</v>
      </c>
      <c r="W17" s="85">
        <v>0</v>
      </c>
      <c r="X17" s="84">
        <v>21</v>
      </c>
      <c r="Y17" s="28">
        <v>0</v>
      </c>
      <c r="Z17" s="29">
        <v>79</v>
      </c>
    </row>
    <row r="18" spans="1:26" s="5" customFormat="1" ht="16.5" customHeight="1" thickTop="1">
      <c r="A18" s="15" t="s">
        <v>51</v>
      </c>
      <c r="B18" s="16" t="s">
        <v>2</v>
      </c>
      <c r="C18" s="20">
        <v>0</v>
      </c>
      <c r="D18" s="30">
        <v>47</v>
      </c>
      <c r="E18" s="45">
        <v>0</v>
      </c>
      <c r="F18" s="32">
        <v>14</v>
      </c>
      <c r="G18" s="33">
        <v>0</v>
      </c>
      <c r="H18" s="30">
        <v>0</v>
      </c>
      <c r="I18" s="31">
        <v>0</v>
      </c>
      <c r="J18" s="32">
        <v>0</v>
      </c>
      <c r="K18" s="33">
        <v>0</v>
      </c>
      <c r="L18" s="30">
        <v>3</v>
      </c>
      <c r="M18" s="31">
        <v>0</v>
      </c>
      <c r="N18" s="32">
        <v>6</v>
      </c>
      <c r="O18" s="33">
        <v>0</v>
      </c>
      <c r="P18" s="30">
        <v>1</v>
      </c>
      <c r="Q18" s="31">
        <v>0</v>
      </c>
      <c r="R18" s="32">
        <v>4</v>
      </c>
      <c r="S18" s="20">
        <v>0</v>
      </c>
      <c r="T18" s="34">
        <v>3</v>
      </c>
      <c r="U18" s="33">
        <v>0</v>
      </c>
      <c r="V18" s="34">
        <v>1</v>
      </c>
      <c r="W18" s="31">
        <v>0</v>
      </c>
      <c r="X18" s="32">
        <v>4</v>
      </c>
      <c r="Y18" s="33">
        <v>0</v>
      </c>
      <c r="Z18" s="34">
        <v>11</v>
      </c>
    </row>
    <row r="19" spans="1:26" s="5" customFormat="1" ht="16.5" customHeight="1">
      <c r="A19" s="8"/>
      <c r="B19" s="9" t="s">
        <v>3</v>
      </c>
      <c r="C19" s="19">
        <v>1</v>
      </c>
      <c r="D19" s="25">
        <v>41</v>
      </c>
      <c r="E19" s="43">
        <v>0</v>
      </c>
      <c r="F19" s="27">
        <v>9</v>
      </c>
      <c r="G19" s="28">
        <v>0</v>
      </c>
      <c r="H19" s="25">
        <v>0</v>
      </c>
      <c r="I19" s="26">
        <v>0</v>
      </c>
      <c r="J19" s="27">
        <v>0</v>
      </c>
      <c r="K19" s="28">
        <v>0</v>
      </c>
      <c r="L19" s="25">
        <v>7</v>
      </c>
      <c r="M19" s="26">
        <v>1</v>
      </c>
      <c r="N19" s="27">
        <v>3</v>
      </c>
      <c r="O19" s="28">
        <v>0</v>
      </c>
      <c r="P19" s="25">
        <v>2</v>
      </c>
      <c r="Q19" s="26">
        <v>0</v>
      </c>
      <c r="R19" s="27">
        <v>8</v>
      </c>
      <c r="S19" s="19">
        <v>0</v>
      </c>
      <c r="T19" s="29">
        <v>4</v>
      </c>
      <c r="U19" s="28">
        <v>0</v>
      </c>
      <c r="V19" s="29">
        <v>0</v>
      </c>
      <c r="W19" s="26">
        <v>0</v>
      </c>
      <c r="X19" s="27">
        <v>2</v>
      </c>
      <c r="Y19" s="28">
        <v>0</v>
      </c>
      <c r="Z19" s="29">
        <v>6</v>
      </c>
    </row>
    <row r="20" spans="1:26" s="5" customFormat="1" ht="16.5" customHeight="1">
      <c r="A20" s="8"/>
      <c r="B20" s="9" t="s">
        <v>4</v>
      </c>
      <c r="C20" s="19">
        <v>0</v>
      </c>
      <c r="D20" s="25">
        <v>36</v>
      </c>
      <c r="E20" s="43">
        <v>0</v>
      </c>
      <c r="F20" s="27">
        <v>9</v>
      </c>
      <c r="G20" s="28">
        <v>0</v>
      </c>
      <c r="H20" s="25">
        <v>0</v>
      </c>
      <c r="I20" s="26">
        <v>0</v>
      </c>
      <c r="J20" s="27">
        <v>0</v>
      </c>
      <c r="K20" s="28">
        <v>0</v>
      </c>
      <c r="L20" s="25">
        <v>6</v>
      </c>
      <c r="M20" s="26">
        <v>0</v>
      </c>
      <c r="N20" s="27">
        <v>4</v>
      </c>
      <c r="O20" s="28">
        <v>0</v>
      </c>
      <c r="P20" s="25">
        <v>0</v>
      </c>
      <c r="Q20" s="26">
        <v>0</v>
      </c>
      <c r="R20" s="27">
        <v>6</v>
      </c>
      <c r="S20" s="19">
        <v>0</v>
      </c>
      <c r="T20" s="29">
        <v>2</v>
      </c>
      <c r="U20" s="28">
        <v>0</v>
      </c>
      <c r="V20" s="29">
        <v>0</v>
      </c>
      <c r="W20" s="26">
        <v>0</v>
      </c>
      <c r="X20" s="27">
        <v>3</v>
      </c>
      <c r="Y20" s="28">
        <v>0</v>
      </c>
      <c r="Z20" s="29">
        <v>6</v>
      </c>
    </row>
    <row r="21" spans="1:26" s="5" customFormat="1" ht="16.5" customHeight="1">
      <c r="A21" s="8"/>
      <c r="B21" s="9" t="s">
        <v>5</v>
      </c>
      <c r="C21" s="19">
        <v>0</v>
      </c>
      <c r="D21" s="25">
        <v>36</v>
      </c>
      <c r="E21" s="43">
        <v>0</v>
      </c>
      <c r="F21" s="27">
        <v>7</v>
      </c>
      <c r="G21" s="28">
        <v>0</v>
      </c>
      <c r="H21" s="25">
        <v>0</v>
      </c>
      <c r="I21" s="26">
        <v>0</v>
      </c>
      <c r="J21" s="27">
        <v>0</v>
      </c>
      <c r="K21" s="28">
        <v>0</v>
      </c>
      <c r="L21" s="25">
        <v>2</v>
      </c>
      <c r="M21" s="26">
        <v>0</v>
      </c>
      <c r="N21" s="27">
        <v>9</v>
      </c>
      <c r="O21" s="28">
        <v>0</v>
      </c>
      <c r="P21" s="25">
        <v>0</v>
      </c>
      <c r="Q21" s="26">
        <v>0</v>
      </c>
      <c r="R21" s="27">
        <v>10</v>
      </c>
      <c r="S21" s="19">
        <v>0</v>
      </c>
      <c r="T21" s="29">
        <v>1</v>
      </c>
      <c r="U21" s="28">
        <v>0</v>
      </c>
      <c r="V21" s="29">
        <v>3</v>
      </c>
      <c r="W21" s="26">
        <v>0</v>
      </c>
      <c r="X21" s="27">
        <v>0</v>
      </c>
      <c r="Y21" s="28">
        <v>0</v>
      </c>
      <c r="Z21" s="29">
        <v>4</v>
      </c>
    </row>
    <row r="22" spans="1:26" s="5" customFormat="1" ht="16.5" customHeight="1">
      <c r="A22" s="8"/>
      <c r="B22" s="9" t="s">
        <v>6</v>
      </c>
      <c r="C22" s="19">
        <v>0</v>
      </c>
      <c r="D22" s="25">
        <v>36</v>
      </c>
      <c r="E22" s="43">
        <v>0</v>
      </c>
      <c r="F22" s="27">
        <v>10</v>
      </c>
      <c r="G22" s="28">
        <v>0</v>
      </c>
      <c r="H22" s="25">
        <v>0</v>
      </c>
      <c r="I22" s="26">
        <v>0</v>
      </c>
      <c r="J22" s="27">
        <v>0</v>
      </c>
      <c r="K22" s="28">
        <v>0</v>
      </c>
      <c r="L22" s="25">
        <v>6</v>
      </c>
      <c r="M22" s="26">
        <v>0</v>
      </c>
      <c r="N22" s="27">
        <v>4</v>
      </c>
      <c r="O22" s="28">
        <v>0</v>
      </c>
      <c r="P22" s="25">
        <v>2</v>
      </c>
      <c r="Q22" s="26">
        <v>0</v>
      </c>
      <c r="R22" s="27">
        <v>4</v>
      </c>
      <c r="S22" s="19">
        <v>0</v>
      </c>
      <c r="T22" s="29">
        <v>3</v>
      </c>
      <c r="U22" s="28">
        <v>0</v>
      </c>
      <c r="V22" s="29">
        <v>0</v>
      </c>
      <c r="W22" s="26">
        <v>0</v>
      </c>
      <c r="X22" s="27">
        <v>0</v>
      </c>
      <c r="Y22" s="28">
        <v>0</v>
      </c>
      <c r="Z22" s="29">
        <v>7</v>
      </c>
    </row>
    <row r="23" spans="1:26" s="61" customFormat="1" ht="16.5" customHeight="1">
      <c r="A23" s="52"/>
      <c r="B23" s="53" t="s">
        <v>7</v>
      </c>
      <c r="C23" s="54">
        <v>0</v>
      </c>
      <c r="D23" s="55">
        <v>43</v>
      </c>
      <c r="E23" s="56">
        <v>0</v>
      </c>
      <c r="F23" s="57">
        <v>14</v>
      </c>
      <c r="G23" s="58">
        <v>0</v>
      </c>
      <c r="H23" s="55">
        <v>0</v>
      </c>
      <c r="I23" s="59">
        <v>0</v>
      </c>
      <c r="J23" s="57">
        <v>0</v>
      </c>
      <c r="K23" s="58">
        <v>0</v>
      </c>
      <c r="L23" s="55">
        <v>4</v>
      </c>
      <c r="M23" s="59">
        <v>0</v>
      </c>
      <c r="N23" s="57">
        <v>6</v>
      </c>
      <c r="O23" s="58">
        <v>0</v>
      </c>
      <c r="P23" s="55">
        <v>1</v>
      </c>
      <c r="Q23" s="59">
        <v>0</v>
      </c>
      <c r="R23" s="57">
        <v>3</v>
      </c>
      <c r="S23" s="54">
        <v>0</v>
      </c>
      <c r="T23" s="60">
        <v>4</v>
      </c>
      <c r="U23" s="58">
        <v>0</v>
      </c>
      <c r="V23" s="60">
        <v>1</v>
      </c>
      <c r="W23" s="59">
        <v>0</v>
      </c>
      <c r="X23" s="57">
        <v>2</v>
      </c>
      <c r="Y23" s="58">
        <v>0</v>
      </c>
      <c r="Z23" s="60">
        <v>8</v>
      </c>
    </row>
    <row r="24" spans="1:26" s="61" customFormat="1" ht="16.5" customHeight="1">
      <c r="A24" s="52"/>
      <c r="B24" s="53" t="s">
        <v>8</v>
      </c>
      <c r="C24" s="54">
        <v>1</v>
      </c>
      <c r="D24" s="55">
        <v>43</v>
      </c>
      <c r="E24" s="56">
        <v>0</v>
      </c>
      <c r="F24" s="57">
        <v>15</v>
      </c>
      <c r="G24" s="58">
        <v>0</v>
      </c>
      <c r="H24" s="55">
        <v>0</v>
      </c>
      <c r="I24" s="59">
        <v>0</v>
      </c>
      <c r="J24" s="57">
        <v>0</v>
      </c>
      <c r="K24" s="58">
        <v>1</v>
      </c>
      <c r="L24" s="55">
        <v>5</v>
      </c>
      <c r="M24" s="59">
        <v>0</v>
      </c>
      <c r="N24" s="57">
        <v>5</v>
      </c>
      <c r="O24" s="58">
        <v>0</v>
      </c>
      <c r="P24" s="55">
        <v>1</v>
      </c>
      <c r="Q24" s="59">
        <v>0</v>
      </c>
      <c r="R24" s="57">
        <v>5</v>
      </c>
      <c r="S24" s="54">
        <v>0</v>
      </c>
      <c r="T24" s="60">
        <v>1</v>
      </c>
      <c r="U24" s="58">
        <v>0</v>
      </c>
      <c r="V24" s="60">
        <v>2</v>
      </c>
      <c r="W24" s="59">
        <v>0</v>
      </c>
      <c r="X24" s="57">
        <v>0</v>
      </c>
      <c r="Y24" s="58">
        <v>0</v>
      </c>
      <c r="Z24" s="60">
        <v>9</v>
      </c>
    </row>
    <row r="25" spans="1:26" s="5" customFormat="1" ht="16.5" customHeight="1">
      <c r="A25" s="8"/>
      <c r="B25" s="9" t="s">
        <v>9</v>
      </c>
      <c r="C25" s="19">
        <v>0</v>
      </c>
      <c r="D25" s="25">
        <v>29</v>
      </c>
      <c r="E25" s="43">
        <v>0</v>
      </c>
      <c r="F25" s="27">
        <v>11</v>
      </c>
      <c r="G25" s="28">
        <v>0</v>
      </c>
      <c r="H25" s="25">
        <v>0</v>
      </c>
      <c r="I25" s="26">
        <v>0</v>
      </c>
      <c r="J25" s="27">
        <v>0</v>
      </c>
      <c r="K25" s="28">
        <v>0</v>
      </c>
      <c r="L25" s="25">
        <v>3</v>
      </c>
      <c r="M25" s="26">
        <v>0</v>
      </c>
      <c r="N25" s="27">
        <v>2</v>
      </c>
      <c r="O25" s="28">
        <v>0</v>
      </c>
      <c r="P25" s="25">
        <v>1</v>
      </c>
      <c r="Q25" s="26">
        <v>0</v>
      </c>
      <c r="R25" s="27">
        <v>2</v>
      </c>
      <c r="S25" s="19">
        <v>0</v>
      </c>
      <c r="T25" s="29">
        <v>5</v>
      </c>
      <c r="U25" s="28">
        <v>0</v>
      </c>
      <c r="V25" s="29">
        <v>0</v>
      </c>
      <c r="W25" s="26">
        <v>0</v>
      </c>
      <c r="X25" s="27">
        <v>0</v>
      </c>
      <c r="Y25" s="28">
        <v>0</v>
      </c>
      <c r="Z25" s="29">
        <v>5</v>
      </c>
    </row>
    <row r="26" spans="1:26" s="5" customFormat="1" ht="16.5" customHeight="1">
      <c r="A26" s="8"/>
      <c r="B26" s="9" t="s">
        <v>10</v>
      </c>
      <c r="C26" s="19">
        <v>1</v>
      </c>
      <c r="D26" s="25">
        <v>45</v>
      </c>
      <c r="E26" s="43">
        <v>0</v>
      </c>
      <c r="F26" s="27">
        <v>13</v>
      </c>
      <c r="G26" s="28">
        <v>0</v>
      </c>
      <c r="H26" s="25">
        <v>0</v>
      </c>
      <c r="I26" s="26">
        <v>0</v>
      </c>
      <c r="J26" s="27">
        <v>0</v>
      </c>
      <c r="K26" s="28">
        <v>1</v>
      </c>
      <c r="L26" s="25">
        <v>5</v>
      </c>
      <c r="M26" s="26">
        <v>0</v>
      </c>
      <c r="N26" s="27">
        <v>9</v>
      </c>
      <c r="O26" s="28">
        <v>0</v>
      </c>
      <c r="P26" s="25">
        <v>0</v>
      </c>
      <c r="Q26" s="26">
        <v>0</v>
      </c>
      <c r="R26" s="27">
        <v>9</v>
      </c>
      <c r="S26" s="19">
        <v>0</v>
      </c>
      <c r="T26" s="29">
        <v>0</v>
      </c>
      <c r="U26" s="28">
        <v>0</v>
      </c>
      <c r="V26" s="29">
        <v>2</v>
      </c>
      <c r="W26" s="26">
        <v>0</v>
      </c>
      <c r="X26" s="27">
        <v>1</v>
      </c>
      <c r="Y26" s="28">
        <v>0</v>
      </c>
      <c r="Z26" s="29">
        <v>6</v>
      </c>
    </row>
    <row r="27" spans="1:26" s="5" customFormat="1" ht="16.5" customHeight="1">
      <c r="A27" s="8"/>
      <c r="B27" s="9" t="s">
        <v>11</v>
      </c>
      <c r="C27" s="19">
        <v>1</v>
      </c>
      <c r="D27" s="25">
        <v>46</v>
      </c>
      <c r="E27" s="43">
        <v>0</v>
      </c>
      <c r="F27" s="27">
        <v>12</v>
      </c>
      <c r="G27" s="28">
        <v>0</v>
      </c>
      <c r="H27" s="25">
        <v>0</v>
      </c>
      <c r="I27" s="26">
        <v>0</v>
      </c>
      <c r="J27" s="27">
        <v>1</v>
      </c>
      <c r="K27" s="28">
        <v>1</v>
      </c>
      <c r="L27" s="25">
        <v>14</v>
      </c>
      <c r="M27" s="26">
        <v>0</v>
      </c>
      <c r="N27" s="27">
        <v>3</v>
      </c>
      <c r="O27" s="28">
        <v>0</v>
      </c>
      <c r="P27" s="25">
        <v>1</v>
      </c>
      <c r="Q27" s="26">
        <v>0</v>
      </c>
      <c r="R27" s="27">
        <v>5</v>
      </c>
      <c r="S27" s="19">
        <v>0</v>
      </c>
      <c r="T27" s="29">
        <v>3</v>
      </c>
      <c r="U27" s="28">
        <v>0</v>
      </c>
      <c r="V27" s="29">
        <v>1</v>
      </c>
      <c r="W27" s="26">
        <v>0</v>
      </c>
      <c r="X27" s="27">
        <v>1</v>
      </c>
      <c r="Y27" s="28">
        <v>0</v>
      </c>
      <c r="Z27" s="29">
        <v>5</v>
      </c>
    </row>
    <row r="28" spans="1:26" s="5" customFormat="1" ht="16.5" customHeight="1">
      <c r="A28" s="8"/>
      <c r="B28" s="9" t="s">
        <v>12</v>
      </c>
      <c r="C28" s="19">
        <v>0</v>
      </c>
      <c r="D28" s="25">
        <v>62</v>
      </c>
      <c r="E28" s="43">
        <v>0</v>
      </c>
      <c r="F28" s="27">
        <v>8</v>
      </c>
      <c r="G28" s="28">
        <v>0</v>
      </c>
      <c r="H28" s="25">
        <v>0</v>
      </c>
      <c r="I28" s="26">
        <v>0</v>
      </c>
      <c r="J28" s="27">
        <v>0</v>
      </c>
      <c r="K28" s="28">
        <v>0</v>
      </c>
      <c r="L28" s="25">
        <v>14</v>
      </c>
      <c r="M28" s="26">
        <v>0</v>
      </c>
      <c r="N28" s="27">
        <v>5</v>
      </c>
      <c r="O28" s="28">
        <v>0</v>
      </c>
      <c r="P28" s="25">
        <v>1</v>
      </c>
      <c r="Q28" s="26">
        <v>0</v>
      </c>
      <c r="R28" s="27">
        <v>14</v>
      </c>
      <c r="S28" s="19">
        <v>0</v>
      </c>
      <c r="T28" s="29">
        <v>6</v>
      </c>
      <c r="U28" s="28">
        <v>0</v>
      </c>
      <c r="V28" s="29">
        <v>1</v>
      </c>
      <c r="W28" s="26">
        <v>0</v>
      </c>
      <c r="X28" s="27">
        <v>6</v>
      </c>
      <c r="Y28" s="28">
        <v>0</v>
      </c>
      <c r="Z28" s="29">
        <v>7</v>
      </c>
    </row>
    <row r="29" spans="1:26" s="5" customFormat="1" ht="16.5" customHeight="1" thickBot="1">
      <c r="A29" s="10"/>
      <c r="B29" s="11" t="s">
        <v>13</v>
      </c>
      <c r="C29" s="49">
        <v>1</v>
      </c>
      <c r="D29" s="83">
        <v>44</v>
      </c>
      <c r="E29" s="46">
        <v>0</v>
      </c>
      <c r="F29" s="37">
        <v>8</v>
      </c>
      <c r="G29" s="38">
        <v>0</v>
      </c>
      <c r="H29" s="35">
        <v>0</v>
      </c>
      <c r="I29" s="36">
        <v>0</v>
      </c>
      <c r="J29" s="37">
        <v>0</v>
      </c>
      <c r="K29" s="38">
        <v>0</v>
      </c>
      <c r="L29" s="35">
        <v>7</v>
      </c>
      <c r="M29" s="36">
        <v>1</v>
      </c>
      <c r="N29" s="37">
        <v>13</v>
      </c>
      <c r="O29" s="38">
        <v>0</v>
      </c>
      <c r="P29" s="35">
        <v>0</v>
      </c>
      <c r="Q29" s="36">
        <v>0</v>
      </c>
      <c r="R29" s="37">
        <v>2</v>
      </c>
      <c r="S29" s="21">
        <v>0</v>
      </c>
      <c r="T29" s="39">
        <v>4</v>
      </c>
      <c r="U29" s="38">
        <v>0</v>
      </c>
      <c r="V29" s="39">
        <v>3</v>
      </c>
      <c r="W29" s="36">
        <v>0</v>
      </c>
      <c r="X29" s="37">
        <v>2</v>
      </c>
      <c r="Y29" s="38">
        <v>0</v>
      </c>
      <c r="Z29" s="39">
        <v>5</v>
      </c>
    </row>
    <row r="30" spans="1:26" s="5" customFormat="1" ht="16.5" customHeight="1" thickTop="1">
      <c r="A30" s="15" t="s">
        <v>53</v>
      </c>
      <c r="B30" s="16" t="s">
        <v>2</v>
      </c>
      <c r="C30" s="54">
        <v>0</v>
      </c>
      <c r="D30" s="55">
        <v>54</v>
      </c>
      <c r="E30" s="45">
        <v>0</v>
      </c>
      <c r="F30" s="32">
        <v>16</v>
      </c>
      <c r="G30" s="33">
        <v>0</v>
      </c>
      <c r="H30" s="30">
        <v>0</v>
      </c>
      <c r="I30" s="31">
        <v>0</v>
      </c>
      <c r="J30" s="32">
        <v>0</v>
      </c>
      <c r="K30" s="33">
        <v>0</v>
      </c>
      <c r="L30" s="30">
        <v>4</v>
      </c>
      <c r="M30" s="31">
        <v>0</v>
      </c>
      <c r="N30" s="32">
        <v>7</v>
      </c>
      <c r="O30" s="33">
        <v>0</v>
      </c>
      <c r="P30" s="30">
        <v>0</v>
      </c>
      <c r="Q30" s="31">
        <v>0</v>
      </c>
      <c r="R30" s="32">
        <v>1</v>
      </c>
      <c r="S30" s="20">
        <v>0</v>
      </c>
      <c r="T30" s="34">
        <v>11</v>
      </c>
      <c r="U30" s="33">
        <v>0</v>
      </c>
      <c r="V30" s="34">
        <v>1</v>
      </c>
      <c r="W30" s="31">
        <v>0</v>
      </c>
      <c r="X30" s="32">
        <v>3</v>
      </c>
      <c r="Y30" s="33">
        <v>0</v>
      </c>
      <c r="Z30" s="34">
        <v>11</v>
      </c>
    </row>
    <row r="31" spans="1:26" s="5" customFormat="1" ht="16.5" customHeight="1">
      <c r="A31" s="8"/>
      <c r="B31" s="9" t="s">
        <v>3</v>
      </c>
      <c r="C31" s="54">
        <v>0</v>
      </c>
      <c r="D31" s="55">
        <v>40</v>
      </c>
      <c r="E31" s="43">
        <v>0</v>
      </c>
      <c r="F31" s="27">
        <v>9</v>
      </c>
      <c r="G31" s="28">
        <v>0</v>
      </c>
      <c r="H31" s="25">
        <v>0</v>
      </c>
      <c r="I31" s="26">
        <v>0</v>
      </c>
      <c r="J31" s="27">
        <v>0</v>
      </c>
      <c r="K31" s="28">
        <v>0</v>
      </c>
      <c r="L31" s="25">
        <v>4</v>
      </c>
      <c r="M31" s="26">
        <v>0</v>
      </c>
      <c r="N31" s="27">
        <v>5</v>
      </c>
      <c r="O31" s="28">
        <v>0</v>
      </c>
      <c r="P31" s="25">
        <v>1</v>
      </c>
      <c r="Q31" s="26">
        <v>0</v>
      </c>
      <c r="R31" s="27">
        <v>9</v>
      </c>
      <c r="S31" s="19">
        <v>0</v>
      </c>
      <c r="T31" s="29">
        <v>5</v>
      </c>
      <c r="U31" s="28">
        <v>0</v>
      </c>
      <c r="V31" s="29">
        <v>3</v>
      </c>
      <c r="W31" s="26">
        <v>0</v>
      </c>
      <c r="X31" s="27">
        <v>0</v>
      </c>
      <c r="Y31" s="28">
        <v>0</v>
      </c>
      <c r="Z31" s="29">
        <v>4</v>
      </c>
    </row>
    <row r="32" spans="1:26" s="5" customFormat="1" ht="16.5" customHeight="1">
      <c r="A32" s="8"/>
      <c r="B32" s="9" t="s">
        <v>4</v>
      </c>
      <c r="C32" s="54">
        <v>1</v>
      </c>
      <c r="D32" s="55">
        <v>30</v>
      </c>
      <c r="E32" s="43">
        <v>0</v>
      </c>
      <c r="F32" s="27">
        <v>4</v>
      </c>
      <c r="G32" s="28">
        <v>0</v>
      </c>
      <c r="H32" s="25">
        <v>0</v>
      </c>
      <c r="I32" s="26">
        <v>0</v>
      </c>
      <c r="J32" s="27">
        <v>2</v>
      </c>
      <c r="K32" s="28">
        <v>0</v>
      </c>
      <c r="L32" s="25">
        <v>3</v>
      </c>
      <c r="M32" s="26">
        <v>1</v>
      </c>
      <c r="N32" s="27">
        <v>7</v>
      </c>
      <c r="O32" s="28">
        <v>0</v>
      </c>
      <c r="P32" s="25">
        <v>0</v>
      </c>
      <c r="Q32" s="26">
        <v>0</v>
      </c>
      <c r="R32" s="27">
        <v>5</v>
      </c>
      <c r="S32" s="19">
        <v>0</v>
      </c>
      <c r="T32" s="29">
        <v>2</v>
      </c>
      <c r="U32" s="28">
        <v>0</v>
      </c>
      <c r="V32" s="29">
        <v>0</v>
      </c>
      <c r="W32" s="26">
        <v>0</v>
      </c>
      <c r="X32" s="27">
        <v>1</v>
      </c>
      <c r="Y32" s="28">
        <v>0</v>
      </c>
      <c r="Z32" s="29">
        <v>6</v>
      </c>
    </row>
    <row r="33" spans="1:26" s="5" customFormat="1" ht="16.5" customHeight="1">
      <c r="A33" s="8"/>
      <c r="B33" s="9" t="s">
        <v>5</v>
      </c>
      <c r="C33" s="54">
        <v>0</v>
      </c>
      <c r="D33" s="55">
        <v>38</v>
      </c>
      <c r="E33" s="43">
        <v>0</v>
      </c>
      <c r="F33" s="27">
        <v>11</v>
      </c>
      <c r="G33" s="28">
        <v>0</v>
      </c>
      <c r="H33" s="25">
        <v>0</v>
      </c>
      <c r="I33" s="26">
        <v>0</v>
      </c>
      <c r="J33" s="27">
        <v>1</v>
      </c>
      <c r="K33" s="28">
        <v>0</v>
      </c>
      <c r="L33" s="25">
        <v>6</v>
      </c>
      <c r="M33" s="26">
        <v>0</v>
      </c>
      <c r="N33" s="27">
        <v>3</v>
      </c>
      <c r="O33" s="28">
        <v>0</v>
      </c>
      <c r="P33" s="25">
        <v>0</v>
      </c>
      <c r="Q33" s="26">
        <v>0</v>
      </c>
      <c r="R33" s="27">
        <v>6</v>
      </c>
      <c r="S33" s="19">
        <v>0</v>
      </c>
      <c r="T33" s="29">
        <v>6</v>
      </c>
      <c r="U33" s="28">
        <v>0</v>
      </c>
      <c r="V33" s="29">
        <v>2</v>
      </c>
      <c r="W33" s="26">
        <v>0</v>
      </c>
      <c r="X33" s="27">
        <v>0</v>
      </c>
      <c r="Y33" s="28">
        <v>0</v>
      </c>
      <c r="Z33" s="29">
        <v>3</v>
      </c>
    </row>
    <row r="34" spans="1:26" s="5" customFormat="1" ht="16.5" customHeight="1">
      <c r="A34" s="8"/>
      <c r="B34" s="9" t="s">
        <v>6</v>
      </c>
      <c r="C34" s="54">
        <v>2</v>
      </c>
      <c r="D34" s="55">
        <v>38</v>
      </c>
      <c r="E34" s="43">
        <v>0</v>
      </c>
      <c r="F34" s="27">
        <v>9</v>
      </c>
      <c r="G34" s="28">
        <v>0</v>
      </c>
      <c r="H34" s="25">
        <v>0</v>
      </c>
      <c r="I34" s="26">
        <v>0</v>
      </c>
      <c r="J34" s="27">
        <v>1</v>
      </c>
      <c r="K34" s="28">
        <v>0</v>
      </c>
      <c r="L34" s="25">
        <v>6</v>
      </c>
      <c r="M34" s="26">
        <v>0</v>
      </c>
      <c r="N34" s="27">
        <v>5</v>
      </c>
      <c r="O34" s="28">
        <v>0</v>
      </c>
      <c r="P34" s="25">
        <v>0</v>
      </c>
      <c r="Q34" s="26">
        <v>0</v>
      </c>
      <c r="R34" s="27">
        <v>1</v>
      </c>
      <c r="S34" s="19">
        <v>0</v>
      </c>
      <c r="T34" s="29">
        <v>2</v>
      </c>
      <c r="U34" s="28">
        <v>0</v>
      </c>
      <c r="V34" s="29">
        <v>3</v>
      </c>
      <c r="W34" s="26">
        <v>0</v>
      </c>
      <c r="X34" s="27">
        <v>1</v>
      </c>
      <c r="Y34" s="28">
        <v>2</v>
      </c>
      <c r="Z34" s="29">
        <v>10</v>
      </c>
    </row>
    <row r="35" spans="1:26" s="61" customFormat="1" ht="16.5" customHeight="1">
      <c r="A35" s="52"/>
      <c r="B35" s="53" t="s">
        <v>7</v>
      </c>
      <c r="C35" s="54">
        <v>0</v>
      </c>
      <c r="D35" s="55">
        <v>45</v>
      </c>
      <c r="E35" s="43">
        <v>0</v>
      </c>
      <c r="F35" s="57">
        <v>11</v>
      </c>
      <c r="G35" s="28">
        <v>0</v>
      </c>
      <c r="H35" s="25">
        <v>0</v>
      </c>
      <c r="I35" s="26">
        <v>0</v>
      </c>
      <c r="J35" s="27">
        <v>0</v>
      </c>
      <c r="K35" s="28">
        <v>0</v>
      </c>
      <c r="L35" s="55">
        <v>10</v>
      </c>
      <c r="M35" s="26">
        <v>0</v>
      </c>
      <c r="N35" s="57">
        <v>6</v>
      </c>
      <c r="O35" s="28">
        <v>0</v>
      </c>
      <c r="P35" s="55">
        <v>0</v>
      </c>
      <c r="Q35" s="26">
        <v>0</v>
      </c>
      <c r="R35" s="27">
        <v>3</v>
      </c>
      <c r="S35" s="19">
        <v>0</v>
      </c>
      <c r="T35" s="60">
        <v>0</v>
      </c>
      <c r="U35" s="58">
        <v>0</v>
      </c>
      <c r="V35" s="60">
        <v>3</v>
      </c>
      <c r="W35" s="26">
        <v>0</v>
      </c>
      <c r="X35" s="27">
        <v>3</v>
      </c>
      <c r="Y35" s="28">
        <v>0</v>
      </c>
      <c r="Z35" s="60">
        <v>9</v>
      </c>
    </row>
    <row r="36" spans="1:26" s="61" customFormat="1" ht="16.5" customHeight="1">
      <c r="A36" s="52"/>
      <c r="B36" s="53" t="s">
        <v>8</v>
      </c>
      <c r="C36" s="54">
        <v>0</v>
      </c>
      <c r="D36" s="55">
        <v>39</v>
      </c>
      <c r="E36" s="56">
        <v>0</v>
      </c>
      <c r="F36" s="57">
        <v>8</v>
      </c>
      <c r="G36" s="58">
        <v>0</v>
      </c>
      <c r="H36" s="55">
        <v>0</v>
      </c>
      <c r="I36" s="59">
        <v>0</v>
      </c>
      <c r="J36" s="57">
        <v>0</v>
      </c>
      <c r="K36" s="58">
        <v>0</v>
      </c>
      <c r="L36" s="55">
        <v>8</v>
      </c>
      <c r="M36" s="59">
        <v>0</v>
      </c>
      <c r="N36" s="57">
        <v>5</v>
      </c>
      <c r="O36" s="58">
        <v>0</v>
      </c>
      <c r="P36" s="55">
        <v>1</v>
      </c>
      <c r="Q36" s="59">
        <v>0</v>
      </c>
      <c r="R36" s="57">
        <v>5</v>
      </c>
      <c r="S36" s="54">
        <v>0</v>
      </c>
      <c r="T36" s="60">
        <v>5</v>
      </c>
      <c r="U36" s="58">
        <v>0</v>
      </c>
      <c r="V36" s="60">
        <v>2</v>
      </c>
      <c r="W36" s="59">
        <v>0</v>
      </c>
      <c r="X36" s="57">
        <v>0</v>
      </c>
      <c r="Y36" s="58">
        <v>0</v>
      </c>
      <c r="Z36" s="60">
        <v>5</v>
      </c>
    </row>
    <row r="37" spans="1:26" s="5" customFormat="1" ht="16.5" customHeight="1">
      <c r="A37" s="8"/>
      <c r="B37" s="9" t="s">
        <v>9</v>
      </c>
      <c r="C37" s="19">
        <v>0</v>
      </c>
      <c r="D37" s="25">
        <v>30</v>
      </c>
      <c r="E37" s="43">
        <v>0</v>
      </c>
      <c r="F37" s="27">
        <v>10</v>
      </c>
      <c r="G37" s="28">
        <v>0</v>
      </c>
      <c r="H37" s="25">
        <v>0</v>
      </c>
      <c r="I37" s="26">
        <v>0</v>
      </c>
      <c r="J37" s="27">
        <v>0</v>
      </c>
      <c r="K37" s="28">
        <v>0</v>
      </c>
      <c r="L37" s="25">
        <v>2</v>
      </c>
      <c r="M37" s="26">
        <v>0</v>
      </c>
      <c r="N37" s="27">
        <v>3</v>
      </c>
      <c r="O37" s="28">
        <v>0</v>
      </c>
      <c r="P37" s="25">
        <v>0</v>
      </c>
      <c r="Q37" s="26">
        <v>0</v>
      </c>
      <c r="R37" s="27">
        <v>2</v>
      </c>
      <c r="S37" s="19">
        <v>0</v>
      </c>
      <c r="T37" s="29">
        <v>4</v>
      </c>
      <c r="U37" s="28">
        <v>0</v>
      </c>
      <c r="V37" s="29">
        <v>2</v>
      </c>
      <c r="W37" s="26">
        <v>0</v>
      </c>
      <c r="X37" s="27">
        <v>2</v>
      </c>
      <c r="Y37" s="28">
        <v>0</v>
      </c>
      <c r="Z37" s="29">
        <v>5</v>
      </c>
    </row>
    <row r="38" spans="1:26" s="5" customFormat="1" ht="16.5" customHeight="1">
      <c r="A38" s="8"/>
      <c r="B38" s="9" t="s">
        <v>10</v>
      </c>
      <c r="C38" s="19">
        <v>1</v>
      </c>
      <c r="D38" s="25">
        <v>37</v>
      </c>
      <c r="E38" s="43">
        <v>0</v>
      </c>
      <c r="F38" s="27">
        <v>10</v>
      </c>
      <c r="G38" s="28">
        <v>0</v>
      </c>
      <c r="H38" s="25">
        <v>0</v>
      </c>
      <c r="I38" s="26">
        <v>0</v>
      </c>
      <c r="J38" s="27">
        <v>0</v>
      </c>
      <c r="K38" s="28">
        <v>0</v>
      </c>
      <c r="L38" s="25">
        <v>5</v>
      </c>
      <c r="M38" s="26">
        <v>0</v>
      </c>
      <c r="N38" s="27">
        <v>3</v>
      </c>
      <c r="O38" s="28">
        <v>0</v>
      </c>
      <c r="P38" s="25">
        <v>0</v>
      </c>
      <c r="Q38" s="26">
        <v>1</v>
      </c>
      <c r="R38" s="27">
        <v>5</v>
      </c>
      <c r="S38" s="19">
        <v>0</v>
      </c>
      <c r="T38" s="29">
        <v>1</v>
      </c>
      <c r="U38" s="28">
        <v>0</v>
      </c>
      <c r="V38" s="29">
        <v>0</v>
      </c>
      <c r="W38" s="26">
        <v>0</v>
      </c>
      <c r="X38" s="27">
        <v>3</v>
      </c>
      <c r="Y38" s="28">
        <v>0</v>
      </c>
      <c r="Z38" s="29">
        <v>10</v>
      </c>
    </row>
    <row r="39" spans="1:26" s="5" customFormat="1" ht="16.5" customHeight="1">
      <c r="A39" s="8"/>
      <c r="B39" s="9" t="s">
        <v>11</v>
      </c>
      <c r="C39" s="19">
        <v>0</v>
      </c>
      <c r="D39" s="25">
        <v>33</v>
      </c>
      <c r="E39" s="43">
        <v>0</v>
      </c>
      <c r="F39" s="27">
        <v>8</v>
      </c>
      <c r="G39" s="28">
        <v>0</v>
      </c>
      <c r="H39" s="25">
        <v>0</v>
      </c>
      <c r="I39" s="26">
        <v>0</v>
      </c>
      <c r="J39" s="27">
        <v>0</v>
      </c>
      <c r="K39" s="28">
        <v>0</v>
      </c>
      <c r="L39" s="25">
        <v>6</v>
      </c>
      <c r="M39" s="26">
        <v>0</v>
      </c>
      <c r="N39" s="27">
        <v>6</v>
      </c>
      <c r="O39" s="28">
        <v>0</v>
      </c>
      <c r="P39" s="25">
        <v>1</v>
      </c>
      <c r="Q39" s="26">
        <v>0</v>
      </c>
      <c r="R39" s="27">
        <v>2</v>
      </c>
      <c r="S39" s="19">
        <v>0</v>
      </c>
      <c r="T39" s="29">
        <v>5</v>
      </c>
      <c r="U39" s="28">
        <v>0</v>
      </c>
      <c r="V39" s="29">
        <v>1</v>
      </c>
      <c r="W39" s="26">
        <v>0</v>
      </c>
      <c r="X39" s="27">
        <v>0</v>
      </c>
      <c r="Y39" s="28">
        <v>0</v>
      </c>
      <c r="Z39" s="29">
        <v>4</v>
      </c>
    </row>
    <row r="40" spans="1:26" s="5" customFormat="1" ht="16.5" customHeight="1">
      <c r="A40" s="8"/>
      <c r="B40" s="9" t="s">
        <v>12</v>
      </c>
      <c r="C40" s="19">
        <v>0</v>
      </c>
      <c r="D40" s="25">
        <v>40</v>
      </c>
      <c r="E40" s="43">
        <v>0</v>
      </c>
      <c r="F40" s="27">
        <v>6</v>
      </c>
      <c r="G40" s="28">
        <v>0</v>
      </c>
      <c r="H40" s="25">
        <v>0</v>
      </c>
      <c r="I40" s="26">
        <v>0</v>
      </c>
      <c r="J40" s="27">
        <v>1</v>
      </c>
      <c r="K40" s="28">
        <v>0</v>
      </c>
      <c r="L40" s="25">
        <v>5</v>
      </c>
      <c r="M40" s="26">
        <v>0</v>
      </c>
      <c r="N40" s="27">
        <v>7</v>
      </c>
      <c r="O40" s="28">
        <v>0</v>
      </c>
      <c r="P40" s="25">
        <v>1</v>
      </c>
      <c r="Q40" s="26">
        <v>0</v>
      </c>
      <c r="R40" s="27">
        <v>8</v>
      </c>
      <c r="S40" s="19">
        <v>0</v>
      </c>
      <c r="T40" s="29">
        <v>4</v>
      </c>
      <c r="U40" s="28">
        <v>0</v>
      </c>
      <c r="V40" s="29">
        <v>1</v>
      </c>
      <c r="W40" s="26">
        <v>0</v>
      </c>
      <c r="X40" s="27">
        <v>4</v>
      </c>
      <c r="Y40" s="28">
        <v>0</v>
      </c>
      <c r="Z40" s="29">
        <v>3</v>
      </c>
    </row>
    <row r="41" spans="1:26" s="5" customFormat="1" ht="16.5" customHeight="1">
      <c r="A41" s="10"/>
      <c r="B41" s="11" t="s">
        <v>13</v>
      </c>
      <c r="C41" s="21">
        <v>3</v>
      </c>
      <c r="D41" s="35">
        <v>50</v>
      </c>
      <c r="E41" s="46">
        <v>0</v>
      </c>
      <c r="F41" s="37">
        <v>7</v>
      </c>
      <c r="G41" s="38">
        <v>0</v>
      </c>
      <c r="H41" s="35">
        <v>0</v>
      </c>
      <c r="I41" s="36">
        <v>0</v>
      </c>
      <c r="J41" s="37">
        <v>0</v>
      </c>
      <c r="K41" s="38">
        <v>1</v>
      </c>
      <c r="L41" s="35">
        <v>5</v>
      </c>
      <c r="M41" s="36">
        <v>0</v>
      </c>
      <c r="N41" s="37">
        <v>9</v>
      </c>
      <c r="O41" s="38">
        <v>0</v>
      </c>
      <c r="P41" s="35">
        <v>2</v>
      </c>
      <c r="Q41" s="36">
        <v>2</v>
      </c>
      <c r="R41" s="37">
        <v>5</v>
      </c>
      <c r="S41" s="21">
        <v>0</v>
      </c>
      <c r="T41" s="39">
        <v>8</v>
      </c>
      <c r="U41" s="38">
        <v>0</v>
      </c>
      <c r="V41" s="39">
        <v>4</v>
      </c>
      <c r="W41" s="36">
        <v>0</v>
      </c>
      <c r="X41" s="37">
        <v>1</v>
      </c>
      <c r="Y41" s="38">
        <v>0</v>
      </c>
      <c r="Z41" s="39">
        <v>9</v>
      </c>
    </row>
    <row r="42" spans="1:26" s="5" customFormat="1" ht="16.5" customHeight="1" thickBot="1">
      <c r="A42" s="64" t="s">
        <v>37</v>
      </c>
      <c r="B42" s="6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s="5" customFormat="1" ht="16.5" customHeight="1">
      <c r="A43" s="95" t="str">
        <f>"2017（平成29）年"&amp;COUNTA(E30:E41)&amp;"月迄"</f>
        <v>2017（平成29）年12月迄</v>
      </c>
      <c r="B43" s="96"/>
      <c r="C43" s="76">
        <f>SUM(C30:C41)</f>
        <v>7</v>
      </c>
      <c r="D43" s="77">
        <f>SUM(D30:D41)</f>
        <v>474</v>
      </c>
      <c r="E43" s="77">
        <f>SUM(E30:E41)</f>
        <v>0</v>
      </c>
      <c r="F43" s="77">
        <f aca="true" t="shared" si="0" ref="F43:Z43">SUM(F30:F41)</f>
        <v>109</v>
      </c>
      <c r="G43" s="77">
        <f>SUM(G30:G41)</f>
        <v>0</v>
      </c>
      <c r="H43" s="77">
        <f t="shared" si="0"/>
        <v>0</v>
      </c>
      <c r="I43" s="77">
        <f t="shared" si="0"/>
        <v>0</v>
      </c>
      <c r="J43" s="78">
        <f t="shared" si="0"/>
        <v>5</v>
      </c>
      <c r="K43" s="77">
        <f t="shared" si="0"/>
        <v>1</v>
      </c>
      <c r="L43" s="77">
        <f t="shared" si="0"/>
        <v>64</v>
      </c>
      <c r="M43" s="77">
        <f t="shared" si="0"/>
        <v>1</v>
      </c>
      <c r="N43" s="77">
        <f t="shared" si="0"/>
        <v>66</v>
      </c>
      <c r="O43" s="77">
        <f t="shared" si="0"/>
        <v>0</v>
      </c>
      <c r="P43" s="77">
        <f t="shared" si="0"/>
        <v>6</v>
      </c>
      <c r="Q43" s="77">
        <f t="shared" si="0"/>
        <v>3</v>
      </c>
      <c r="R43" s="77">
        <f t="shared" si="0"/>
        <v>52</v>
      </c>
      <c r="S43" s="76">
        <f t="shared" si="0"/>
        <v>0</v>
      </c>
      <c r="T43" s="77">
        <f t="shared" si="0"/>
        <v>53</v>
      </c>
      <c r="U43" s="77">
        <f t="shared" si="0"/>
        <v>0</v>
      </c>
      <c r="V43" s="77">
        <f t="shared" si="0"/>
        <v>22</v>
      </c>
      <c r="W43" s="77">
        <f t="shared" si="0"/>
        <v>0</v>
      </c>
      <c r="X43" s="77">
        <f t="shared" si="0"/>
        <v>18</v>
      </c>
      <c r="Y43" s="77">
        <f t="shared" si="0"/>
        <v>2</v>
      </c>
      <c r="Z43" s="79">
        <f t="shared" si="0"/>
        <v>79</v>
      </c>
    </row>
    <row r="44" spans="1:26" s="5" customFormat="1" ht="16.5" customHeight="1">
      <c r="A44" s="97" t="str">
        <f>"前年"&amp;COUNTA(E30:E41)&amp;"月迄"</f>
        <v>前年12月迄</v>
      </c>
      <c r="B44" s="98"/>
      <c r="C44" s="80">
        <f ca="1">SUM(C18:(INDIRECT("c"&amp;COUNT($E30:$E41)+17)))</f>
        <v>5</v>
      </c>
      <c r="D44" s="80">
        <f ca="1">SUM(D18:(INDIRECT("d"&amp;COUNT($E30:$E41)+17)))</f>
        <v>508</v>
      </c>
      <c r="E44" s="80">
        <f ca="1">SUM(E18:(INDIRECT("e"&amp;COUNT($E30:$E41)+17)))</f>
        <v>0</v>
      </c>
      <c r="F44" s="80">
        <f ca="1">SUM(F18:(INDIRECT("f"&amp;COUNT($E30:$E41)+17)))</f>
        <v>130</v>
      </c>
      <c r="G44" s="80">
        <f ca="1">SUM(G18:(INDIRECT("ｇ"&amp;COUNT($E30:$E41)+17)))</f>
        <v>0</v>
      </c>
      <c r="H44" s="80">
        <f ca="1">SUM(H18:(INDIRECT("ｈ"&amp;COUNT($E30:$E41)+17)))</f>
        <v>0</v>
      </c>
      <c r="I44" s="80">
        <f ca="1">SUM(I18:(INDIRECT("i"&amp;COUNT($E30:$E41)+17)))</f>
        <v>0</v>
      </c>
      <c r="J44" s="80">
        <f ca="1">SUM(J18:(INDIRECT("j"&amp;COUNT($E30:$E41)+17)))</f>
        <v>1</v>
      </c>
      <c r="K44" s="80">
        <f ca="1">SUM(K18:(INDIRECT("k"&amp;COUNT($E30:$E41)+17)))</f>
        <v>3</v>
      </c>
      <c r="L44" s="80">
        <f ca="1">SUM(L18:(INDIRECT("l"&amp;COUNT($E30:$E41)+17)))</f>
        <v>76</v>
      </c>
      <c r="M44" s="80">
        <f ca="1">SUM(M18:(INDIRECT("m"&amp;COUNT($E30:$E41)+17)))</f>
        <v>2</v>
      </c>
      <c r="N44" s="80">
        <f ca="1">SUM(N18:(INDIRECT("n"&amp;COUNT($E30:$E41)+17)))</f>
        <v>69</v>
      </c>
      <c r="O44" s="80">
        <f ca="1">SUM(O18:(INDIRECT("o"&amp;COUNT($E30:$E41)+17)))</f>
        <v>0</v>
      </c>
      <c r="P44" s="80">
        <f ca="1">SUM(P18:(INDIRECT("p"&amp;COUNT($E30:$E41)+17)))</f>
        <v>10</v>
      </c>
      <c r="Q44" s="80">
        <f ca="1">SUM(Q18:(INDIRECT("q"&amp;COUNT($E30:$E41)+17)))</f>
        <v>0</v>
      </c>
      <c r="R44" s="80">
        <f ca="1">SUM(R18:(INDIRECT("r"&amp;COUNT($E30:$E41)+17)))</f>
        <v>72</v>
      </c>
      <c r="S44" s="80">
        <f ca="1">SUM(S18:(INDIRECT("s"&amp;COUNT($E30:$E41)+17)))</f>
        <v>0</v>
      </c>
      <c r="T44" s="80">
        <f ca="1">SUM(T18:(INDIRECT("t"&amp;COUNT($E30:$E41)+17)))</f>
        <v>36</v>
      </c>
      <c r="U44" s="80">
        <f ca="1">SUM(U18:(INDIRECT("u"&amp;COUNT($E30:$E41)+17)))</f>
        <v>0</v>
      </c>
      <c r="V44" s="80">
        <f ca="1">SUM(V18:(INDIRECT("v"&amp;COUNT($E30:$E41)+17)))</f>
        <v>14</v>
      </c>
      <c r="W44" s="80">
        <f ca="1">SUM(W18:(INDIRECT("w"&amp;COUNT($E30:$E41)+17)))</f>
        <v>0</v>
      </c>
      <c r="X44" s="80">
        <f ca="1">SUM(X18:(INDIRECT("x"&amp;COUNT($E30:$E41)+17)))</f>
        <v>21</v>
      </c>
      <c r="Y44" s="80">
        <f ca="1">SUM(Y18:(INDIRECT("y"&amp;COUNT($E30:$E41)+17)))</f>
        <v>0</v>
      </c>
      <c r="Z44" s="81">
        <f ca="1">SUM(Z18:(INDIRECT("z"&amp;COUNT($E30:$E41)+17)))</f>
        <v>79</v>
      </c>
    </row>
    <row r="45" spans="1:26" s="5" customFormat="1" ht="16.5" customHeight="1" thickBot="1">
      <c r="A45" s="99" t="s">
        <v>36</v>
      </c>
      <c r="B45" s="100"/>
      <c r="C45" s="82">
        <f>C43-C44</f>
        <v>2</v>
      </c>
      <c r="D45" s="62">
        <f aca="true" t="shared" si="1" ref="D45:Z45">D43-D44</f>
        <v>-34</v>
      </c>
      <c r="E45" s="62">
        <f t="shared" si="1"/>
        <v>0</v>
      </c>
      <c r="F45" s="62">
        <f t="shared" si="1"/>
        <v>-21</v>
      </c>
      <c r="G45" s="62">
        <f t="shared" si="1"/>
        <v>0</v>
      </c>
      <c r="H45" s="62">
        <f t="shared" si="1"/>
        <v>0</v>
      </c>
      <c r="I45" s="62">
        <f t="shared" si="1"/>
        <v>0</v>
      </c>
      <c r="J45" s="66">
        <f t="shared" si="1"/>
        <v>4</v>
      </c>
      <c r="K45" s="62">
        <f t="shared" si="1"/>
        <v>-2</v>
      </c>
      <c r="L45" s="62">
        <f t="shared" si="1"/>
        <v>-12</v>
      </c>
      <c r="M45" s="62">
        <f t="shared" si="1"/>
        <v>-1</v>
      </c>
      <c r="N45" s="62">
        <f t="shared" si="1"/>
        <v>-3</v>
      </c>
      <c r="O45" s="62">
        <f t="shared" si="1"/>
        <v>0</v>
      </c>
      <c r="P45" s="62">
        <f t="shared" si="1"/>
        <v>-4</v>
      </c>
      <c r="Q45" s="62">
        <f t="shared" si="1"/>
        <v>3</v>
      </c>
      <c r="R45" s="62">
        <f t="shared" si="1"/>
        <v>-20</v>
      </c>
      <c r="S45" s="82">
        <f t="shared" si="1"/>
        <v>0</v>
      </c>
      <c r="T45" s="62">
        <f t="shared" si="1"/>
        <v>17</v>
      </c>
      <c r="U45" s="62">
        <f t="shared" si="1"/>
        <v>0</v>
      </c>
      <c r="V45" s="62">
        <f t="shared" si="1"/>
        <v>8</v>
      </c>
      <c r="W45" s="62">
        <f t="shared" si="1"/>
        <v>0</v>
      </c>
      <c r="X45" s="62">
        <f t="shared" si="1"/>
        <v>-3</v>
      </c>
      <c r="Y45" s="62">
        <f t="shared" si="1"/>
        <v>2</v>
      </c>
      <c r="Z45" s="63">
        <f t="shared" si="1"/>
        <v>0</v>
      </c>
    </row>
    <row r="46" s="5" customFormat="1" ht="16.5" customHeight="1">
      <c r="A46" s="5" t="s">
        <v>28</v>
      </c>
    </row>
    <row r="47" s="2" customFormat="1" ht="16.5" customHeight="1">
      <c r="A47" s="5" t="s">
        <v>38</v>
      </c>
    </row>
    <row r="48" s="5" customFormat="1" ht="16.5" customHeight="1">
      <c r="A48" s="5" t="s">
        <v>30</v>
      </c>
    </row>
    <row r="49" s="5" customFormat="1" ht="16.5" customHeight="1">
      <c r="B49" s="5" t="s">
        <v>31</v>
      </c>
    </row>
    <row r="50" s="5" customFormat="1" ht="16.5" customHeight="1">
      <c r="B50" s="5" t="s">
        <v>32</v>
      </c>
    </row>
    <row r="51" s="5" customFormat="1" ht="16.5" customHeight="1">
      <c r="B51" s="5" t="s">
        <v>33</v>
      </c>
    </row>
    <row r="52" s="5" customFormat="1" ht="16.5" customHeight="1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</sheetData>
  <sheetProtection/>
  <mergeCells count="16">
    <mergeCell ref="A4:B5"/>
    <mergeCell ref="C4:D4"/>
    <mergeCell ref="E4:F4"/>
    <mergeCell ref="G4:H4"/>
    <mergeCell ref="I4:J4"/>
    <mergeCell ref="K4:L4"/>
    <mergeCell ref="Y4:Z4"/>
    <mergeCell ref="A43:B43"/>
    <mergeCell ref="A44:B44"/>
    <mergeCell ref="A45:B45"/>
    <mergeCell ref="M4:N4"/>
    <mergeCell ref="O4:P4"/>
    <mergeCell ref="Q4:R4"/>
    <mergeCell ref="S4:T4"/>
    <mergeCell ref="U4:V4"/>
    <mergeCell ref="W4:X4"/>
  </mergeCells>
  <conditionalFormatting sqref="C43:Z45">
    <cfRule type="cellIs" priority="1" dxfId="18" operator="lessThan" stopIfTrue="1">
      <formula>0</formula>
    </cfRule>
    <cfRule type="cellIs" priority="2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56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>
      <c r="A13" s="8" t="s">
        <v>47</v>
      </c>
      <c r="B13" s="14" t="s">
        <v>1</v>
      </c>
      <c r="C13" s="19">
        <v>6</v>
      </c>
      <c r="D13" s="25">
        <v>470</v>
      </c>
      <c r="E13" s="43">
        <v>0</v>
      </c>
      <c r="F13" s="29">
        <v>117</v>
      </c>
      <c r="G13" s="19">
        <v>0</v>
      </c>
      <c r="H13" s="25">
        <v>0</v>
      </c>
      <c r="I13" s="19">
        <v>0</v>
      </c>
      <c r="J13" s="25">
        <v>1</v>
      </c>
      <c r="K13" s="19">
        <v>2</v>
      </c>
      <c r="L13" s="25">
        <v>65</v>
      </c>
      <c r="M13" s="19">
        <v>1</v>
      </c>
      <c r="N13" s="25">
        <v>52</v>
      </c>
      <c r="O13" s="19">
        <v>1</v>
      </c>
      <c r="P13" s="25">
        <v>12</v>
      </c>
      <c r="Q13" s="19">
        <v>1</v>
      </c>
      <c r="R13" s="25">
        <v>73</v>
      </c>
      <c r="S13" s="19">
        <v>1</v>
      </c>
      <c r="T13" s="25">
        <v>33</v>
      </c>
      <c r="U13" s="19">
        <v>0</v>
      </c>
      <c r="V13" s="29">
        <v>11</v>
      </c>
      <c r="W13" s="19">
        <v>0</v>
      </c>
      <c r="X13" s="25">
        <v>15</v>
      </c>
      <c r="Y13" s="19">
        <v>0</v>
      </c>
      <c r="Z13" s="29">
        <v>91</v>
      </c>
    </row>
    <row r="14" spans="1:26" s="14" customFormat="1" ht="18.75" customHeight="1">
      <c r="A14" s="8" t="s">
        <v>48</v>
      </c>
      <c r="B14" s="14" t="s">
        <v>1</v>
      </c>
      <c r="C14" s="19">
        <v>7</v>
      </c>
      <c r="D14" s="25">
        <v>502</v>
      </c>
      <c r="E14" s="43">
        <v>2</v>
      </c>
      <c r="F14" s="29">
        <v>119</v>
      </c>
      <c r="G14" s="19">
        <v>0</v>
      </c>
      <c r="H14" s="25">
        <v>0</v>
      </c>
      <c r="I14" s="19">
        <v>0</v>
      </c>
      <c r="J14" s="25">
        <v>2</v>
      </c>
      <c r="K14" s="19">
        <v>1</v>
      </c>
      <c r="L14" s="25">
        <v>87</v>
      </c>
      <c r="M14" s="19">
        <v>1</v>
      </c>
      <c r="N14" s="25">
        <v>54</v>
      </c>
      <c r="O14" s="19">
        <v>0</v>
      </c>
      <c r="P14" s="25">
        <v>8</v>
      </c>
      <c r="Q14" s="19">
        <v>2</v>
      </c>
      <c r="R14" s="25">
        <v>70</v>
      </c>
      <c r="S14" s="19">
        <v>0</v>
      </c>
      <c r="T14" s="25">
        <v>43</v>
      </c>
      <c r="U14" s="19">
        <v>0</v>
      </c>
      <c r="V14" s="29">
        <v>10</v>
      </c>
      <c r="W14" s="19">
        <v>0</v>
      </c>
      <c r="X14" s="25">
        <v>17</v>
      </c>
      <c r="Y14" s="19">
        <v>1</v>
      </c>
      <c r="Z14" s="29">
        <v>92</v>
      </c>
    </row>
    <row r="15" spans="1:26" s="14" customFormat="1" ht="18.75" customHeight="1">
      <c r="A15" s="8" t="s">
        <v>49</v>
      </c>
      <c r="B15" s="14" t="s">
        <v>1</v>
      </c>
      <c r="C15" s="19">
        <v>7</v>
      </c>
      <c r="D15" s="25">
        <v>549</v>
      </c>
      <c r="E15" s="43">
        <v>1</v>
      </c>
      <c r="F15" s="29">
        <v>135</v>
      </c>
      <c r="G15" s="19">
        <v>0</v>
      </c>
      <c r="H15" s="25">
        <v>1</v>
      </c>
      <c r="I15" s="19">
        <v>0</v>
      </c>
      <c r="J15" s="25">
        <v>1</v>
      </c>
      <c r="K15" s="19">
        <v>2</v>
      </c>
      <c r="L15" s="25">
        <v>82</v>
      </c>
      <c r="M15" s="19">
        <v>0</v>
      </c>
      <c r="N15" s="25">
        <v>65</v>
      </c>
      <c r="O15" s="19">
        <v>0</v>
      </c>
      <c r="P15" s="25">
        <v>13</v>
      </c>
      <c r="Q15" s="19">
        <v>1</v>
      </c>
      <c r="R15" s="25">
        <v>53</v>
      </c>
      <c r="S15" s="19">
        <v>1</v>
      </c>
      <c r="T15" s="25">
        <v>50</v>
      </c>
      <c r="U15" s="19">
        <v>0</v>
      </c>
      <c r="V15" s="29">
        <v>25</v>
      </c>
      <c r="W15" s="19">
        <v>1</v>
      </c>
      <c r="X15" s="25">
        <v>26</v>
      </c>
      <c r="Y15" s="19">
        <v>1</v>
      </c>
      <c r="Z15" s="29">
        <v>98</v>
      </c>
    </row>
    <row r="16" spans="1:26" s="14" customFormat="1" ht="18.75" customHeight="1" thickBot="1">
      <c r="A16" s="8" t="s">
        <v>50</v>
      </c>
      <c r="B16" s="14" t="s">
        <v>1</v>
      </c>
      <c r="C16" s="19">
        <v>7</v>
      </c>
      <c r="D16" s="25">
        <v>538</v>
      </c>
      <c r="E16" s="43">
        <v>0</v>
      </c>
      <c r="F16" s="29">
        <v>124</v>
      </c>
      <c r="G16" s="19">
        <v>0</v>
      </c>
      <c r="H16" s="25">
        <v>0</v>
      </c>
      <c r="I16" s="19">
        <v>0</v>
      </c>
      <c r="J16" s="25">
        <v>3</v>
      </c>
      <c r="K16" s="19">
        <v>2</v>
      </c>
      <c r="L16" s="25">
        <v>93</v>
      </c>
      <c r="M16" s="19">
        <v>1</v>
      </c>
      <c r="N16" s="25">
        <v>64</v>
      </c>
      <c r="O16" s="19">
        <v>2</v>
      </c>
      <c r="P16" s="25">
        <v>7</v>
      </c>
      <c r="Q16" s="19">
        <v>0</v>
      </c>
      <c r="R16" s="25">
        <v>64</v>
      </c>
      <c r="S16" s="19">
        <v>0</v>
      </c>
      <c r="T16" s="25">
        <v>47</v>
      </c>
      <c r="U16" s="19">
        <v>1</v>
      </c>
      <c r="V16" s="29">
        <v>21</v>
      </c>
      <c r="W16" s="19">
        <v>0</v>
      </c>
      <c r="X16" s="25">
        <v>25</v>
      </c>
      <c r="Y16" s="19">
        <v>1</v>
      </c>
      <c r="Z16" s="29">
        <v>90</v>
      </c>
    </row>
    <row r="17" spans="1:26" s="5" customFormat="1" ht="16.5" customHeight="1" thickTop="1">
      <c r="A17" s="15" t="s">
        <v>57</v>
      </c>
      <c r="B17" s="16" t="s">
        <v>2</v>
      </c>
      <c r="C17" s="20">
        <v>1</v>
      </c>
      <c r="D17" s="30">
        <v>57</v>
      </c>
      <c r="E17" s="45">
        <v>0</v>
      </c>
      <c r="F17" s="32">
        <v>14</v>
      </c>
      <c r="G17" s="33">
        <v>0</v>
      </c>
      <c r="H17" s="30">
        <v>0</v>
      </c>
      <c r="I17" s="31">
        <v>0</v>
      </c>
      <c r="J17" s="32">
        <v>0</v>
      </c>
      <c r="K17" s="33">
        <v>0</v>
      </c>
      <c r="L17" s="30">
        <v>8</v>
      </c>
      <c r="M17" s="31">
        <v>0</v>
      </c>
      <c r="N17" s="32">
        <v>8</v>
      </c>
      <c r="O17" s="33">
        <v>1</v>
      </c>
      <c r="P17" s="30">
        <v>2</v>
      </c>
      <c r="Q17" s="31">
        <v>0</v>
      </c>
      <c r="R17" s="32">
        <v>4</v>
      </c>
      <c r="S17" s="20">
        <v>0</v>
      </c>
      <c r="T17" s="34">
        <v>6</v>
      </c>
      <c r="U17" s="33">
        <v>0</v>
      </c>
      <c r="V17" s="34">
        <v>4</v>
      </c>
      <c r="W17" s="31">
        <v>0</v>
      </c>
      <c r="X17" s="32">
        <v>3</v>
      </c>
      <c r="Y17" s="33">
        <v>0</v>
      </c>
      <c r="Z17" s="34">
        <v>8</v>
      </c>
    </row>
    <row r="18" spans="1:26" s="5" customFormat="1" ht="16.5" customHeight="1">
      <c r="A18" s="8"/>
      <c r="B18" s="9" t="s">
        <v>3</v>
      </c>
      <c r="C18" s="19">
        <v>1</v>
      </c>
      <c r="D18" s="25">
        <v>52</v>
      </c>
      <c r="E18" s="43">
        <v>0</v>
      </c>
      <c r="F18" s="27">
        <v>11</v>
      </c>
      <c r="G18" s="28">
        <v>0</v>
      </c>
      <c r="H18" s="25">
        <v>0</v>
      </c>
      <c r="I18" s="26">
        <v>0</v>
      </c>
      <c r="J18" s="27">
        <v>0</v>
      </c>
      <c r="K18" s="28">
        <v>0</v>
      </c>
      <c r="L18" s="25">
        <v>8</v>
      </c>
      <c r="M18" s="26">
        <v>0</v>
      </c>
      <c r="N18" s="27">
        <v>7</v>
      </c>
      <c r="O18" s="28">
        <v>0</v>
      </c>
      <c r="P18" s="25">
        <v>0</v>
      </c>
      <c r="Q18" s="26">
        <v>0</v>
      </c>
      <c r="R18" s="27">
        <v>3</v>
      </c>
      <c r="S18" s="19">
        <v>0</v>
      </c>
      <c r="T18" s="29">
        <v>4</v>
      </c>
      <c r="U18" s="28">
        <v>1</v>
      </c>
      <c r="V18" s="29">
        <v>1</v>
      </c>
      <c r="W18" s="26">
        <v>0</v>
      </c>
      <c r="X18" s="27">
        <v>5</v>
      </c>
      <c r="Y18" s="28">
        <v>0</v>
      </c>
      <c r="Z18" s="29">
        <v>13</v>
      </c>
    </row>
    <row r="19" spans="1:26" s="5" customFormat="1" ht="16.5" customHeight="1">
      <c r="A19" s="8"/>
      <c r="B19" s="9" t="s">
        <v>4</v>
      </c>
      <c r="C19" s="19">
        <v>1</v>
      </c>
      <c r="D19" s="25">
        <v>54</v>
      </c>
      <c r="E19" s="43">
        <v>0</v>
      </c>
      <c r="F19" s="27">
        <v>8</v>
      </c>
      <c r="G19" s="28">
        <v>0</v>
      </c>
      <c r="H19" s="25">
        <v>0</v>
      </c>
      <c r="I19" s="26">
        <v>0</v>
      </c>
      <c r="J19" s="27">
        <v>1</v>
      </c>
      <c r="K19" s="28">
        <v>0</v>
      </c>
      <c r="L19" s="25">
        <v>17</v>
      </c>
      <c r="M19" s="26">
        <v>1</v>
      </c>
      <c r="N19" s="27">
        <v>7</v>
      </c>
      <c r="O19" s="28">
        <v>0</v>
      </c>
      <c r="P19" s="25">
        <v>0</v>
      </c>
      <c r="Q19" s="26">
        <v>0</v>
      </c>
      <c r="R19" s="27">
        <v>3</v>
      </c>
      <c r="S19" s="19">
        <v>0</v>
      </c>
      <c r="T19" s="29">
        <v>7</v>
      </c>
      <c r="U19" s="28">
        <v>0</v>
      </c>
      <c r="V19" s="29">
        <v>1</v>
      </c>
      <c r="W19" s="26">
        <v>0</v>
      </c>
      <c r="X19" s="27">
        <v>2</v>
      </c>
      <c r="Y19" s="28">
        <v>0</v>
      </c>
      <c r="Z19" s="29">
        <v>8</v>
      </c>
    </row>
    <row r="20" spans="1:26" s="5" customFormat="1" ht="16.5" customHeight="1">
      <c r="A20" s="8"/>
      <c r="B20" s="9" t="s">
        <v>5</v>
      </c>
      <c r="C20" s="19">
        <v>0</v>
      </c>
      <c r="D20" s="25">
        <v>42</v>
      </c>
      <c r="E20" s="43">
        <v>0</v>
      </c>
      <c r="F20" s="27">
        <v>9</v>
      </c>
      <c r="G20" s="28">
        <v>0</v>
      </c>
      <c r="H20" s="25">
        <v>0</v>
      </c>
      <c r="I20" s="26">
        <v>0</v>
      </c>
      <c r="J20" s="27">
        <v>0</v>
      </c>
      <c r="K20" s="28">
        <v>0</v>
      </c>
      <c r="L20" s="25">
        <v>3</v>
      </c>
      <c r="M20" s="26">
        <v>0</v>
      </c>
      <c r="N20" s="27">
        <v>5</v>
      </c>
      <c r="O20" s="28">
        <v>0</v>
      </c>
      <c r="P20" s="25">
        <v>0</v>
      </c>
      <c r="Q20" s="26">
        <v>0</v>
      </c>
      <c r="R20" s="27">
        <v>8</v>
      </c>
      <c r="S20" s="19">
        <v>0</v>
      </c>
      <c r="T20" s="29">
        <v>5</v>
      </c>
      <c r="U20" s="28">
        <v>0</v>
      </c>
      <c r="V20" s="29">
        <v>2</v>
      </c>
      <c r="W20" s="26">
        <v>0</v>
      </c>
      <c r="X20" s="27">
        <v>2</v>
      </c>
      <c r="Y20" s="28">
        <v>0</v>
      </c>
      <c r="Z20" s="29">
        <v>8</v>
      </c>
    </row>
    <row r="21" spans="1:26" s="5" customFormat="1" ht="16.5" customHeight="1">
      <c r="A21" s="8"/>
      <c r="B21" s="9" t="s">
        <v>6</v>
      </c>
      <c r="C21" s="19">
        <v>0</v>
      </c>
      <c r="D21" s="25">
        <v>35</v>
      </c>
      <c r="E21" s="43">
        <v>0</v>
      </c>
      <c r="F21" s="27">
        <v>10</v>
      </c>
      <c r="G21" s="28">
        <v>0</v>
      </c>
      <c r="H21" s="25">
        <v>0</v>
      </c>
      <c r="I21" s="26">
        <v>0</v>
      </c>
      <c r="J21" s="27">
        <v>0</v>
      </c>
      <c r="K21" s="28">
        <v>0</v>
      </c>
      <c r="L21" s="25">
        <v>5</v>
      </c>
      <c r="M21" s="26">
        <v>0</v>
      </c>
      <c r="N21" s="27">
        <v>2</v>
      </c>
      <c r="O21" s="28">
        <v>0</v>
      </c>
      <c r="P21" s="25">
        <v>1</v>
      </c>
      <c r="Q21" s="26">
        <v>0</v>
      </c>
      <c r="R21" s="27">
        <v>3</v>
      </c>
      <c r="S21" s="19">
        <v>0</v>
      </c>
      <c r="T21" s="29">
        <v>1</v>
      </c>
      <c r="U21" s="28">
        <v>0</v>
      </c>
      <c r="V21" s="29">
        <v>4</v>
      </c>
      <c r="W21" s="26">
        <v>0</v>
      </c>
      <c r="X21" s="27">
        <v>1</v>
      </c>
      <c r="Y21" s="28">
        <v>0</v>
      </c>
      <c r="Z21" s="29">
        <v>8</v>
      </c>
    </row>
    <row r="22" spans="1:26" s="61" customFormat="1" ht="16.5" customHeight="1">
      <c r="A22" s="52"/>
      <c r="B22" s="53" t="s">
        <v>7</v>
      </c>
      <c r="C22" s="54">
        <v>0</v>
      </c>
      <c r="D22" s="55">
        <v>35</v>
      </c>
      <c r="E22" s="56">
        <v>0</v>
      </c>
      <c r="F22" s="57">
        <v>8</v>
      </c>
      <c r="G22" s="58">
        <v>0</v>
      </c>
      <c r="H22" s="55">
        <v>0</v>
      </c>
      <c r="I22" s="59">
        <v>0</v>
      </c>
      <c r="J22" s="57">
        <v>0</v>
      </c>
      <c r="K22" s="58">
        <v>0</v>
      </c>
      <c r="L22" s="55">
        <v>3</v>
      </c>
      <c r="M22" s="59">
        <v>0</v>
      </c>
      <c r="N22" s="57">
        <v>4</v>
      </c>
      <c r="O22" s="58">
        <v>0</v>
      </c>
      <c r="P22" s="55">
        <v>1</v>
      </c>
      <c r="Q22" s="59">
        <v>0</v>
      </c>
      <c r="R22" s="57">
        <v>7</v>
      </c>
      <c r="S22" s="54">
        <v>0</v>
      </c>
      <c r="T22" s="60">
        <v>2</v>
      </c>
      <c r="U22" s="58">
        <v>0</v>
      </c>
      <c r="V22" s="60">
        <v>0</v>
      </c>
      <c r="W22" s="59">
        <v>0</v>
      </c>
      <c r="X22" s="57">
        <v>0</v>
      </c>
      <c r="Y22" s="58">
        <v>0</v>
      </c>
      <c r="Z22" s="60">
        <v>10</v>
      </c>
    </row>
    <row r="23" spans="1:26" s="61" customFormat="1" ht="16.5" customHeight="1">
      <c r="A23" s="52"/>
      <c r="B23" s="53" t="s">
        <v>8</v>
      </c>
      <c r="C23" s="54">
        <v>0</v>
      </c>
      <c r="D23" s="55">
        <v>55</v>
      </c>
      <c r="E23" s="56">
        <v>0</v>
      </c>
      <c r="F23" s="57">
        <v>13</v>
      </c>
      <c r="G23" s="58">
        <v>0</v>
      </c>
      <c r="H23" s="55">
        <v>0</v>
      </c>
      <c r="I23" s="59">
        <v>0</v>
      </c>
      <c r="J23" s="57">
        <v>0</v>
      </c>
      <c r="K23" s="58">
        <v>0</v>
      </c>
      <c r="L23" s="55">
        <v>18</v>
      </c>
      <c r="M23" s="59">
        <v>0</v>
      </c>
      <c r="N23" s="57">
        <v>7</v>
      </c>
      <c r="O23" s="58">
        <v>0</v>
      </c>
      <c r="P23" s="55">
        <v>0</v>
      </c>
      <c r="Q23" s="59">
        <v>0</v>
      </c>
      <c r="R23" s="57">
        <v>7</v>
      </c>
      <c r="S23" s="54">
        <v>0</v>
      </c>
      <c r="T23" s="60">
        <v>3</v>
      </c>
      <c r="U23" s="58">
        <v>0</v>
      </c>
      <c r="V23" s="60">
        <v>0</v>
      </c>
      <c r="W23" s="59">
        <v>0</v>
      </c>
      <c r="X23" s="57">
        <v>3</v>
      </c>
      <c r="Y23" s="58">
        <v>0</v>
      </c>
      <c r="Z23" s="60">
        <v>4</v>
      </c>
    </row>
    <row r="24" spans="1:26" s="5" customFormat="1" ht="16.5" customHeight="1">
      <c r="A24" s="8"/>
      <c r="B24" s="9" t="s">
        <v>9</v>
      </c>
      <c r="C24" s="19">
        <v>0</v>
      </c>
      <c r="D24" s="25">
        <v>27</v>
      </c>
      <c r="E24" s="43">
        <v>0</v>
      </c>
      <c r="F24" s="27">
        <v>10</v>
      </c>
      <c r="G24" s="28">
        <v>0</v>
      </c>
      <c r="H24" s="25">
        <v>0</v>
      </c>
      <c r="I24" s="26">
        <v>0</v>
      </c>
      <c r="J24" s="27">
        <v>2</v>
      </c>
      <c r="K24" s="28">
        <v>0</v>
      </c>
      <c r="L24" s="25">
        <v>5</v>
      </c>
      <c r="M24" s="26">
        <v>0</v>
      </c>
      <c r="N24" s="27">
        <v>1</v>
      </c>
      <c r="O24" s="28">
        <v>0</v>
      </c>
      <c r="P24" s="25">
        <v>0</v>
      </c>
      <c r="Q24" s="26">
        <v>0</v>
      </c>
      <c r="R24" s="27">
        <v>4</v>
      </c>
      <c r="S24" s="19">
        <v>0</v>
      </c>
      <c r="T24" s="29">
        <v>1</v>
      </c>
      <c r="U24" s="28">
        <v>0</v>
      </c>
      <c r="V24" s="29">
        <v>1</v>
      </c>
      <c r="W24" s="26">
        <v>0</v>
      </c>
      <c r="X24" s="27">
        <v>1</v>
      </c>
      <c r="Y24" s="28">
        <v>0</v>
      </c>
      <c r="Z24" s="29">
        <v>2</v>
      </c>
    </row>
    <row r="25" spans="1:26" s="5" customFormat="1" ht="16.5" customHeight="1">
      <c r="A25" s="8"/>
      <c r="B25" s="9" t="s">
        <v>10</v>
      </c>
      <c r="C25" s="19">
        <v>1</v>
      </c>
      <c r="D25" s="25">
        <v>37</v>
      </c>
      <c r="E25" s="43">
        <v>0</v>
      </c>
      <c r="F25" s="27">
        <v>11</v>
      </c>
      <c r="G25" s="28">
        <v>0</v>
      </c>
      <c r="H25" s="25">
        <v>0</v>
      </c>
      <c r="I25" s="26">
        <v>0</v>
      </c>
      <c r="J25" s="27">
        <v>0</v>
      </c>
      <c r="K25" s="28">
        <v>1</v>
      </c>
      <c r="L25" s="25">
        <v>4</v>
      </c>
      <c r="M25" s="26">
        <v>0</v>
      </c>
      <c r="N25" s="27">
        <v>3</v>
      </c>
      <c r="O25" s="28">
        <v>0</v>
      </c>
      <c r="P25" s="25">
        <v>1</v>
      </c>
      <c r="Q25" s="26">
        <v>0</v>
      </c>
      <c r="R25" s="27">
        <v>5</v>
      </c>
      <c r="S25" s="19">
        <v>0</v>
      </c>
      <c r="T25" s="29">
        <v>4</v>
      </c>
      <c r="U25" s="28">
        <v>0</v>
      </c>
      <c r="V25" s="29">
        <v>2</v>
      </c>
      <c r="W25" s="26">
        <v>0</v>
      </c>
      <c r="X25" s="27">
        <v>2</v>
      </c>
      <c r="Y25" s="28">
        <v>0</v>
      </c>
      <c r="Z25" s="29">
        <v>5</v>
      </c>
    </row>
    <row r="26" spans="1:26" s="5" customFormat="1" ht="16.5" customHeight="1">
      <c r="A26" s="8"/>
      <c r="B26" s="9" t="s">
        <v>11</v>
      </c>
      <c r="C26" s="19">
        <v>0</v>
      </c>
      <c r="D26" s="25">
        <v>54</v>
      </c>
      <c r="E26" s="43">
        <v>0</v>
      </c>
      <c r="F26" s="27">
        <v>15</v>
      </c>
      <c r="G26" s="28">
        <v>0</v>
      </c>
      <c r="H26" s="25">
        <v>0</v>
      </c>
      <c r="I26" s="26">
        <v>0</v>
      </c>
      <c r="J26" s="27">
        <v>0</v>
      </c>
      <c r="K26" s="28">
        <v>0</v>
      </c>
      <c r="L26" s="25">
        <v>13</v>
      </c>
      <c r="M26" s="26">
        <v>0</v>
      </c>
      <c r="N26" s="27">
        <v>9</v>
      </c>
      <c r="O26" s="28">
        <v>0</v>
      </c>
      <c r="P26" s="25">
        <v>0</v>
      </c>
      <c r="Q26" s="26">
        <v>0</v>
      </c>
      <c r="R26" s="27">
        <v>3</v>
      </c>
      <c r="S26" s="19">
        <v>0</v>
      </c>
      <c r="T26" s="29">
        <v>7</v>
      </c>
      <c r="U26" s="28">
        <v>0</v>
      </c>
      <c r="V26" s="29">
        <v>1</v>
      </c>
      <c r="W26" s="26">
        <v>0</v>
      </c>
      <c r="X26" s="27">
        <v>1</v>
      </c>
      <c r="Y26" s="28">
        <v>0</v>
      </c>
      <c r="Z26" s="29">
        <v>5</v>
      </c>
    </row>
    <row r="27" spans="1:26" s="5" customFormat="1" ht="16.5" customHeight="1">
      <c r="A27" s="8"/>
      <c r="B27" s="9" t="s">
        <v>12</v>
      </c>
      <c r="C27" s="19">
        <v>2</v>
      </c>
      <c r="D27" s="25">
        <v>37</v>
      </c>
      <c r="E27" s="43">
        <v>0</v>
      </c>
      <c r="F27" s="27">
        <v>7</v>
      </c>
      <c r="G27" s="28">
        <v>0</v>
      </c>
      <c r="H27" s="25">
        <v>0</v>
      </c>
      <c r="I27" s="26">
        <v>0</v>
      </c>
      <c r="J27" s="27">
        <v>0</v>
      </c>
      <c r="K27" s="28">
        <v>1</v>
      </c>
      <c r="L27" s="25">
        <v>2</v>
      </c>
      <c r="M27" s="26">
        <v>0</v>
      </c>
      <c r="N27" s="27">
        <v>1</v>
      </c>
      <c r="O27" s="28">
        <v>1</v>
      </c>
      <c r="P27" s="25">
        <v>1</v>
      </c>
      <c r="Q27" s="26">
        <v>0</v>
      </c>
      <c r="R27" s="27">
        <v>13</v>
      </c>
      <c r="S27" s="19">
        <v>0</v>
      </c>
      <c r="T27" s="29">
        <v>2</v>
      </c>
      <c r="U27" s="28">
        <v>0</v>
      </c>
      <c r="V27" s="29">
        <v>2</v>
      </c>
      <c r="W27" s="26">
        <v>0</v>
      </c>
      <c r="X27" s="27">
        <v>2</v>
      </c>
      <c r="Y27" s="28">
        <v>0</v>
      </c>
      <c r="Z27" s="29">
        <v>7</v>
      </c>
    </row>
    <row r="28" spans="1:26" s="5" customFormat="1" ht="16.5" customHeight="1" thickBot="1">
      <c r="A28" s="10"/>
      <c r="B28" s="11" t="s">
        <v>13</v>
      </c>
      <c r="C28" s="49">
        <v>1</v>
      </c>
      <c r="D28" s="83">
        <v>53</v>
      </c>
      <c r="E28" s="46">
        <v>0</v>
      </c>
      <c r="F28" s="37">
        <v>8</v>
      </c>
      <c r="G28" s="38">
        <v>0</v>
      </c>
      <c r="H28" s="35">
        <v>0</v>
      </c>
      <c r="I28" s="36">
        <v>0</v>
      </c>
      <c r="J28" s="37">
        <v>0</v>
      </c>
      <c r="K28" s="38">
        <v>0</v>
      </c>
      <c r="L28" s="35">
        <v>7</v>
      </c>
      <c r="M28" s="36">
        <v>0</v>
      </c>
      <c r="N28" s="37">
        <v>10</v>
      </c>
      <c r="O28" s="38">
        <v>0</v>
      </c>
      <c r="P28" s="35">
        <v>1</v>
      </c>
      <c r="Q28" s="36">
        <v>0</v>
      </c>
      <c r="R28" s="37">
        <v>4</v>
      </c>
      <c r="S28" s="21">
        <v>0</v>
      </c>
      <c r="T28" s="39">
        <v>5</v>
      </c>
      <c r="U28" s="38">
        <v>0</v>
      </c>
      <c r="V28" s="39">
        <v>3</v>
      </c>
      <c r="W28" s="36">
        <v>0</v>
      </c>
      <c r="X28" s="37">
        <v>3</v>
      </c>
      <c r="Y28" s="38">
        <v>1</v>
      </c>
      <c r="Z28" s="39">
        <v>12</v>
      </c>
    </row>
    <row r="29" spans="1:26" s="5" customFormat="1" ht="16.5" customHeight="1" thickTop="1">
      <c r="A29" s="15" t="s">
        <v>58</v>
      </c>
      <c r="B29" s="16" t="s">
        <v>2</v>
      </c>
      <c r="C29" s="54">
        <v>0</v>
      </c>
      <c r="D29" s="55">
        <v>47</v>
      </c>
      <c r="E29" s="45">
        <v>0</v>
      </c>
      <c r="F29" s="32">
        <v>14</v>
      </c>
      <c r="G29" s="33">
        <v>0</v>
      </c>
      <c r="H29" s="30">
        <v>0</v>
      </c>
      <c r="I29" s="31">
        <v>0</v>
      </c>
      <c r="J29" s="32">
        <v>0</v>
      </c>
      <c r="K29" s="33">
        <v>0</v>
      </c>
      <c r="L29" s="30">
        <v>3</v>
      </c>
      <c r="M29" s="31">
        <v>0</v>
      </c>
      <c r="N29" s="32">
        <v>6</v>
      </c>
      <c r="O29" s="33">
        <v>0</v>
      </c>
      <c r="P29" s="30">
        <v>1</v>
      </c>
      <c r="Q29" s="31">
        <v>0</v>
      </c>
      <c r="R29" s="32">
        <v>4</v>
      </c>
      <c r="S29" s="20">
        <v>0</v>
      </c>
      <c r="T29" s="34">
        <v>3</v>
      </c>
      <c r="U29" s="33">
        <v>0</v>
      </c>
      <c r="V29" s="34">
        <v>1</v>
      </c>
      <c r="W29" s="31">
        <v>0</v>
      </c>
      <c r="X29" s="32">
        <v>4</v>
      </c>
      <c r="Y29" s="33">
        <v>0</v>
      </c>
      <c r="Z29" s="34">
        <v>11</v>
      </c>
    </row>
    <row r="30" spans="1:26" s="5" customFormat="1" ht="16.5" customHeight="1">
      <c r="A30" s="8"/>
      <c r="B30" s="9" t="s">
        <v>3</v>
      </c>
      <c r="C30" s="54">
        <v>1</v>
      </c>
      <c r="D30" s="55">
        <v>41</v>
      </c>
      <c r="E30" s="43">
        <v>0</v>
      </c>
      <c r="F30" s="27">
        <v>9</v>
      </c>
      <c r="G30" s="28">
        <v>0</v>
      </c>
      <c r="H30" s="25">
        <v>0</v>
      </c>
      <c r="I30" s="26">
        <v>0</v>
      </c>
      <c r="J30" s="27">
        <v>0</v>
      </c>
      <c r="K30" s="28">
        <v>0</v>
      </c>
      <c r="L30" s="25">
        <v>7</v>
      </c>
      <c r="M30" s="26">
        <v>1</v>
      </c>
      <c r="N30" s="27">
        <v>3</v>
      </c>
      <c r="O30" s="28">
        <v>0</v>
      </c>
      <c r="P30" s="25">
        <v>2</v>
      </c>
      <c r="Q30" s="26">
        <v>0</v>
      </c>
      <c r="R30" s="27">
        <v>8</v>
      </c>
      <c r="S30" s="19">
        <v>0</v>
      </c>
      <c r="T30" s="29">
        <v>4</v>
      </c>
      <c r="U30" s="28">
        <v>0</v>
      </c>
      <c r="V30" s="29">
        <v>0</v>
      </c>
      <c r="W30" s="26">
        <v>0</v>
      </c>
      <c r="X30" s="27">
        <v>2</v>
      </c>
      <c r="Y30" s="28">
        <v>0</v>
      </c>
      <c r="Z30" s="29">
        <v>6</v>
      </c>
    </row>
    <row r="31" spans="1:26" s="5" customFormat="1" ht="16.5" customHeight="1">
      <c r="A31" s="8"/>
      <c r="B31" s="9" t="s">
        <v>4</v>
      </c>
      <c r="C31" s="54">
        <v>0</v>
      </c>
      <c r="D31" s="55">
        <v>36</v>
      </c>
      <c r="E31" s="43">
        <v>0</v>
      </c>
      <c r="F31" s="27">
        <v>9</v>
      </c>
      <c r="G31" s="28">
        <v>0</v>
      </c>
      <c r="H31" s="25">
        <v>0</v>
      </c>
      <c r="I31" s="26">
        <v>0</v>
      </c>
      <c r="J31" s="27">
        <v>0</v>
      </c>
      <c r="K31" s="28">
        <v>0</v>
      </c>
      <c r="L31" s="25">
        <v>6</v>
      </c>
      <c r="M31" s="26">
        <v>0</v>
      </c>
      <c r="N31" s="27">
        <v>4</v>
      </c>
      <c r="O31" s="28">
        <v>0</v>
      </c>
      <c r="P31" s="25">
        <v>0</v>
      </c>
      <c r="Q31" s="26">
        <v>0</v>
      </c>
      <c r="R31" s="27">
        <v>6</v>
      </c>
      <c r="S31" s="19">
        <v>0</v>
      </c>
      <c r="T31" s="29">
        <v>2</v>
      </c>
      <c r="U31" s="28">
        <v>0</v>
      </c>
      <c r="V31" s="29">
        <v>0</v>
      </c>
      <c r="W31" s="26">
        <v>0</v>
      </c>
      <c r="X31" s="27">
        <v>3</v>
      </c>
      <c r="Y31" s="28">
        <v>0</v>
      </c>
      <c r="Z31" s="29">
        <v>6</v>
      </c>
    </row>
    <row r="32" spans="1:26" s="5" customFormat="1" ht="16.5" customHeight="1">
      <c r="A32" s="8"/>
      <c r="B32" s="9" t="s">
        <v>5</v>
      </c>
      <c r="C32" s="54">
        <v>0</v>
      </c>
      <c r="D32" s="55">
        <v>36</v>
      </c>
      <c r="E32" s="43">
        <v>0</v>
      </c>
      <c r="F32" s="27">
        <v>7</v>
      </c>
      <c r="G32" s="28">
        <v>0</v>
      </c>
      <c r="H32" s="25">
        <v>0</v>
      </c>
      <c r="I32" s="26">
        <v>0</v>
      </c>
      <c r="J32" s="27">
        <v>0</v>
      </c>
      <c r="K32" s="28">
        <v>0</v>
      </c>
      <c r="L32" s="25">
        <v>2</v>
      </c>
      <c r="M32" s="26">
        <v>0</v>
      </c>
      <c r="N32" s="27">
        <v>9</v>
      </c>
      <c r="O32" s="28">
        <v>0</v>
      </c>
      <c r="P32" s="25">
        <v>0</v>
      </c>
      <c r="Q32" s="26">
        <v>0</v>
      </c>
      <c r="R32" s="27">
        <v>10</v>
      </c>
      <c r="S32" s="19">
        <v>0</v>
      </c>
      <c r="T32" s="29">
        <v>1</v>
      </c>
      <c r="U32" s="28">
        <v>0</v>
      </c>
      <c r="V32" s="29">
        <v>3</v>
      </c>
      <c r="W32" s="26">
        <v>0</v>
      </c>
      <c r="X32" s="27">
        <v>0</v>
      </c>
      <c r="Y32" s="28">
        <v>0</v>
      </c>
      <c r="Z32" s="29">
        <v>4</v>
      </c>
    </row>
    <row r="33" spans="1:26" s="5" customFormat="1" ht="16.5" customHeight="1">
      <c r="A33" s="8"/>
      <c r="B33" s="9" t="s">
        <v>6</v>
      </c>
      <c r="C33" s="54">
        <v>0</v>
      </c>
      <c r="D33" s="55">
        <v>36</v>
      </c>
      <c r="E33" s="43">
        <v>0</v>
      </c>
      <c r="F33" s="27">
        <v>10</v>
      </c>
      <c r="G33" s="28">
        <v>0</v>
      </c>
      <c r="H33" s="25">
        <v>0</v>
      </c>
      <c r="I33" s="26">
        <v>0</v>
      </c>
      <c r="J33" s="27">
        <v>0</v>
      </c>
      <c r="K33" s="28">
        <v>0</v>
      </c>
      <c r="L33" s="25">
        <v>6</v>
      </c>
      <c r="M33" s="26">
        <v>0</v>
      </c>
      <c r="N33" s="27">
        <v>4</v>
      </c>
      <c r="O33" s="28">
        <v>0</v>
      </c>
      <c r="P33" s="25">
        <v>2</v>
      </c>
      <c r="Q33" s="26">
        <v>0</v>
      </c>
      <c r="R33" s="27">
        <v>4</v>
      </c>
      <c r="S33" s="19">
        <v>0</v>
      </c>
      <c r="T33" s="29">
        <v>3</v>
      </c>
      <c r="U33" s="28">
        <v>0</v>
      </c>
      <c r="V33" s="29">
        <v>0</v>
      </c>
      <c r="W33" s="26">
        <v>0</v>
      </c>
      <c r="X33" s="27">
        <v>0</v>
      </c>
      <c r="Y33" s="28">
        <v>0</v>
      </c>
      <c r="Z33" s="29">
        <v>7</v>
      </c>
    </row>
    <row r="34" spans="1:26" s="61" customFormat="1" ht="16.5" customHeight="1">
      <c r="A34" s="52"/>
      <c r="B34" s="53" t="s">
        <v>7</v>
      </c>
      <c r="C34" s="54">
        <v>0</v>
      </c>
      <c r="D34" s="55">
        <v>43</v>
      </c>
      <c r="E34" s="43">
        <v>0</v>
      </c>
      <c r="F34" s="57">
        <v>14</v>
      </c>
      <c r="G34" s="28">
        <v>0</v>
      </c>
      <c r="H34" s="25">
        <v>0</v>
      </c>
      <c r="I34" s="26">
        <v>0</v>
      </c>
      <c r="J34" s="27">
        <v>0</v>
      </c>
      <c r="K34" s="28">
        <v>0</v>
      </c>
      <c r="L34" s="55">
        <v>4</v>
      </c>
      <c r="M34" s="26">
        <v>0</v>
      </c>
      <c r="N34" s="57">
        <v>6</v>
      </c>
      <c r="O34" s="28">
        <v>0</v>
      </c>
      <c r="P34" s="55">
        <v>1</v>
      </c>
      <c r="Q34" s="26">
        <v>0</v>
      </c>
      <c r="R34" s="27">
        <v>3</v>
      </c>
      <c r="S34" s="19">
        <v>0</v>
      </c>
      <c r="T34" s="60">
        <v>4</v>
      </c>
      <c r="U34" s="58">
        <v>0</v>
      </c>
      <c r="V34" s="60">
        <v>1</v>
      </c>
      <c r="W34" s="26">
        <v>0</v>
      </c>
      <c r="X34" s="27">
        <v>2</v>
      </c>
      <c r="Y34" s="28">
        <v>0</v>
      </c>
      <c r="Z34" s="60">
        <v>8</v>
      </c>
    </row>
    <row r="35" spans="1:26" s="61" customFormat="1" ht="16.5" customHeight="1">
      <c r="A35" s="52"/>
      <c r="B35" s="53" t="s">
        <v>8</v>
      </c>
      <c r="C35" s="54">
        <v>1</v>
      </c>
      <c r="D35" s="55">
        <v>43</v>
      </c>
      <c r="E35" s="56">
        <v>0</v>
      </c>
      <c r="F35" s="57">
        <v>15</v>
      </c>
      <c r="G35" s="58">
        <v>0</v>
      </c>
      <c r="H35" s="55">
        <v>0</v>
      </c>
      <c r="I35" s="59">
        <v>0</v>
      </c>
      <c r="J35" s="57">
        <v>0</v>
      </c>
      <c r="K35" s="58">
        <v>1</v>
      </c>
      <c r="L35" s="55">
        <v>5</v>
      </c>
      <c r="M35" s="59">
        <v>0</v>
      </c>
      <c r="N35" s="57">
        <v>5</v>
      </c>
      <c r="O35" s="58">
        <v>0</v>
      </c>
      <c r="P35" s="55">
        <v>1</v>
      </c>
      <c r="Q35" s="59">
        <v>0</v>
      </c>
      <c r="R35" s="57">
        <v>5</v>
      </c>
      <c r="S35" s="54">
        <v>0</v>
      </c>
      <c r="T35" s="60">
        <v>1</v>
      </c>
      <c r="U35" s="58">
        <v>0</v>
      </c>
      <c r="V35" s="60">
        <v>2</v>
      </c>
      <c r="W35" s="59">
        <v>0</v>
      </c>
      <c r="X35" s="57">
        <v>0</v>
      </c>
      <c r="Y35" s="58">
        <v>0</v>
      </c>
      <c r="Z35" s="60">
        <v>9</v>
      </c>
    </row>
    <row r="36" spans="1:26" s="5" customFormat="1" ht="16.5" customHeight="1">
      <c r="A36" s="8"/>
      <c r="B36" s="9" t="s">
        <v>9</v>
      </c>
      <c r="C36" s="19">
        <v>0</v>
      </c>
      <c r="D36" s="25">
        <v>29</v>
      </c>
      <c r="E36" s="43">
        <v>0</v>
      </c>
      <c r="F36" s="27">
        <v>11</v>
      </c>
      <c r="G36" s="28">
        <v>0</v>
      </c>
      <c r="H36" s="25">
        <v>0</v>
      </c>
      <c r="I36" s="26">
        <v>0</v>
      </c>
      <c r="J36" s="27">
        <v>0</v>
      </c>
      <c r="K36" s="28">
        <v>0</v>
      </c>
      <c r="L36" s="25">
        <v>3</v>
      </c>
      <c r="M36" s="26">
        <v>0</v>
      </c>
      <c r="N36" s="27">
        <v>2</v>
      </c>
      <c r="O36" s="28">
        <v>0</v>
      </c>
      <c r="P36" s="25">
        <v>1</v>
      </c>
      <c r="Q36" s="26">
        <v>0</v>
      </c>
      <c r="R36" s="27">
        <v>2</v>
      </c>
      <c r="S36" s="19">
        <v>0</v>
      </c>
      <c r="T36" s="29">
        <v>5</v>
      </c>
      <c r="U36" s="28">
        <v>0</v>
      </c>
      <c r="V36" s="29">
        <v>0</v>
      </c>
      <c r="W36" s="26">
        <v>0</v>
      </c>
      <c r="X36" s="27">
        <v>0</v>
      </c>
      <c r="Y36" s="28">
        <v>0</v>
      </c>
      <c r="Z36" s="29">
        <v>5</v>
      </c>
    </row>
    <row r="37" spans="1:26" s="5" customFormat="1" ht="16.5" customHeight="1">
      <c r="A37" s="8"/>
      <c r="B37" s="9" t="s">
        <v>10</v>
      </c>
      <c r="C37" s="19">
        <v>1</v>
      </c>
      <c r="D37" s="25">
        <v>45</v>
      </c>
      <c r="E37" s="43">
        <v>0</v>
      </c>
      <c r="F37" s="27">
        <v>13</v>
      </c>
      <c r="G37" s="28">
        <v>0</v>
      </c>
      <c r="H37" s="25">
        <v>0</v>
      </c>
      <c r="I37" s="26">
        <v>0</v>
      </c>
      <c r="J37" s="27">
        <v>0</v>
      </c>
      <c r="K37" s="28">
        <v>1</v>
      </c>
      <c r="L37" s="25">
        <v>5</v>
      </c>
      <c r="M37" s="26">
        <v>0</v>
      </c>
      <c r="N37" s="27">
        <v>9</v>
      </c>
      <c r="O37" s="28">
        <v>0</v>
      </c>
      <c r="P37" s="25">
        <v>0</v>
      </c>
      <c r="Q37" s="26">
        <v>0</v>
      </c>
      <c r="R37" s="27">
        <v>9</v>
      </c>
      <c r="S37" s="19">
        <v>0</v>
      </c>
      <c r="T37" s="29">
        <v>0</v>
      </c>
      <c r="U37" s="28">
        <v>0</v>
      </c>
      <c r="V37" s="29">
        <v>2</v>
      </c>
      <c r="W37" s="26">
        <v>0</v>
      </c>
      <c r="X37" s="27">
        <v>1</v>
      </c>
      <c r="Y37" s="28">
        <v>0</v>
      </c>
      <c r="Z37" s="29">
        <v>6</v>
      </c>
    </row>
    <row r="38" spans="1:26" s="5" customFormat="1" ht="16.5" customHeight="1">
      <c r="A38" s="8"/>
      <c r="B38" s="9" t="s">
        <v>11</v>
      </c>
      <c r="C38" s="19">
        <v>1</v>
      </c>
      <c r="D38" s="25">
        <v>46</v>
      </c>
      <c r="E38" s="43">
        <v>0</v>
      </c>
      <c r="F38" s="27">
        <v>12</v>
      </c>
      <c r="G38" s="28">
        <v>0</v>
      </c>
      <c r="H38" s="25">
        <v>0</v>
      </c>
      <c r="I38" s="26">
        <v>0</v>
      </c>
      <c r="J38" s="27">
        <v>1</v>
      </c>
      <c r="K38" s="28">
        <v>1</v>
      </c>
      <c r="L38" s="25">
        <v>14</v>
      </c>
      <c r="M38" s="26">
        <v>0</v>
      </c>
      <c r="N38" s="27">
        <v>3</v>
      </c>
      <c r="O38" s="28">
        <v>0</v>
      </c>
      <c r="P38" s="25">
        <v>1</v>
      </c>
      <c r="Q38" s="26">
        <v>0</v>
      </c>
      <c r="R38" s="27">
        <v>5</v>
      </c>
      <c r="S38" s="19">
        <v>0</v>
      </c>
      <c r="T38" s="29">
        <v>3</v>
      </c>
      <c r="U38" s="28">
        <v>0</v>
      </c>
      <c r="V38" s="29">
        <v>1</v>
      </c>
      <c r="W38" s="26">
        <v>0</v>
      </c>
      <c r="X38" s="27">
        <v>1</v>
      </c>
      <c r="Y38" s="28">
        <v>0</v>
      </c>
      <c r="Z38" s="29">
        <v>5</v>
      </c>
    </row>
    <row r="39" spans="1:26" s="5" customFormat="1" ht="16.5" customHeight="1">
      <c r="A39" s="8"/>
      <c r="B39" s="9" t="s">
        <v>12</v>
      </c>
      <c r="C39" s="19">
        <v>0</v>
      </c>
      <c r="D39" s="25">
        <v>62</v>
      </c>
      <c r="E39" s="43">
        <v>0</v>
      </c>
      <c r="F39" s="27">
        <v>8</v>
      </c>
      <c r="G39" s="28">
        <v>0</v>
      </c>
      <c r="H39" s="25">
        <v>0</v>
      </c>
      <c r="I39" s="26">
        <v>0</v>
      </c>
      <c r="J39" s="27">
        <v>0</v>
      </c>
      <c r="K39" s="28">
        <v>0</v>
      </c>
      <c r="L39" s="25">
        <v>14</v>
      </c>
      <c r="M39" s="26">
        <v>0</v>
      </c>
      <c r="N39" s="27">
        <v>5</v>
      </c>
      <c r="O39" s="28">
        <v>0</v>
      </c>
      <c r="P39" s="25">
        <v>1</v>
      </c>
      <c r="Q39" s="26">
        <v>0</v>
      </c>
      <c r="R39" s="27">
        <v>14</v>
      </c>
      <c r="S39" s="19">
        <v>0</v>
      </c>
      <c r="T39" s="29">
        <v>6</v>
      </c>
      <c r="U39" s="28">
        <v>0</v>
      </c>
      <c r="V39" s="29">
        <v>1</v>
      </c>
      <c r="W39" s="26">
        <v>0</v>
      </c>
      <c r="X39" s="27">
        <v>6</v>
      </c>
      <c r="Y39" s="28">
        <v>0</v>
      </c>
      <c r="Z39" s="29">
        <v>7</v>
      </c>
    </row>
    <row r="40" spans="1:26" s="5" customFormat="1" ht="16.5" customHeight="1">
      <c r="A40" s="10"/>
      <c r="B40" s="11" t="s">
        <v>13</v>
      </c>
      <c r="C40" s="21">
        <v>1</v>
      </c>
      <c r="D40" s="35">
        <v>44</v>
      </c>
      <c r="E40" s="46">
        <v>0</v>
      </c>
      <c r="F40" s="37">
        <v>8</v>
      </c>
      <c r="G40" s="38">
        <v>0</v>
      </c>
      <c r="H40" s="35">
        <v>0</v>
      </c>
      <c r="I40" s="36">
        <v>0</v>
      </c>
      <c r="J40" s="37">
        <v>0</v>
      </c>
      <c r="K40" s="38">
        <v>0</v>
      </c>
      <c r="L40" s="35">
        <v>7</v>
      </c>
      <c r="M40" s="36">
        <v>1</v>
      </c>
      <c r="N40" s="37">
        <v>13</v>
      </c>
      <c r="O40" s="38">
        <v>0</v>
      </c>
      <c r="P40" s="35">
        <v>0</v>
      </c>
      <c r="Q40" s="36">
        <v>0</v>
      </c>
      <c r="R40" s="37">
        <v>2</v>
      </c>
      <c r="S40" s="21">
        <v>0</v>
      </c>
      <c r="T40" s="39">
        <v>4</v>
      </c>
      <c r="U40" s="38">
        <v>0</v>
      </c>
      <c r="V40" s="39">
        <v>3</v>
      </c>
      <c r="W40" s="36">
        <v>0</v>
      </c>
      <c r="X40" s="37">
        <v>2</v>
      </c>
      <c r="Y40" s="38">
        <v>0</v>
      </c>
      <c r="Z40" s="39">
        <v>5</v>
      </c>
    </row>
    <row r="41" spans="1:26" s="5" customFormat="1" ht="16.5" customHeight="1" thickBot="1">
      <c r="A41" s="64" t="s">
        <v>37</v>
      </c>
      <c r="B41" s="6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s="5" customFormat="1" ht="16.5" customHeight="1">
      <c r="A42" s="95" t="str">
        <f>"2016（平成28）年"&amp;COUNTA(E29:E40)&amp;"月迄"</f>
        <v>2016（平成28）年12月迄</v>
      </c>
      <c r="B42" s="96"/>
      <c r="C42" s="76">
        <f>SUM(C29:C40)</f>
        <v>5</v>
      </c>
      <c r="D42" s="77">
        <f>SUM(D29:D40)</f>
        <v>508</v>
      </c>
      <c r="E42" s="77">
        <f>SUM(E29:E40)</f>
        <v>0</v>
      </c>
      <c r="F42" s="77">
        <f aca="true" t="shared" si="0" ref="F42:Z42">SUM(F29:F40)</f>
        <v>130</v>
      </c>
      <c r="G42" s="77">
        <f>SUM(G29:G40)</f>
        <v>0</v>
      </c>
      <c r="H42" s="77">
        <f t="shared" si="0"/>
        <v>0</v>
      </c>
      <c r="I42" s="77">
        <f t="shared" si="0"/>
        <v>0</v>
      </c>
      <c r="J42" s="78">
        <f t="shared" si="0"/>
        <v>1</v>
      </c>
      <c r="K42" s="77">
        <f t="shared" si="0"/>
        <v>3</v>
      </c>
      <c r="L42" s="77">
        <f t="shared" si="0"/>
        <v>76</v>
      </c>
      <c r="M42" s="77">
        <f t="shared" si="0"/>
        <v>2</v>
      </c>
      <c r="N42" s="77">
        <f t="shared" si="0"/>
        <v>69</v>
      </c>
      <c r="O42" s="77">
        <f t="shared" si="0"/>
        <v>0</v>
      </c>
      <c r="P42" s="77">
        <f t="shared" si="0"/>
        <v>10</v>
      </c>
      <c r="Q42" s="77">
        <f t="shared" si="0"/>
        <v>0</v>
      </c>
      <c r="R42" s="77">
        <f t="shared" si="0"/>
        <v>72</v>
      </c>
      <c r="S42" s="76">
        <f t="shared" si="0"/>
        <v>0</v>
      </c>
      <c r="T42" s="77">
        <f t="shared" si="0"/>
        <v>36</v>
      </c>
      <c r="U42" s="77">
        <f t="shared" si="0"/>
        <v>0</v>
      </c>
      <c r="V42" s="77">
        <f t="shared" si="0"/>
        <v>14</v>
      </c>
      <c r="W42" s="77">
        <f t="shared" si="0"/>
        <v>0</v>
      </c>
      <c r="X42" s="77">
        <f t="shared" si="0"/>
        <v>21</v>
      </c>
      <c r="Y42" s="77">
        <f t="shared" si="0"/>
        <v>0</v>
      </c>
      <c r="Z42" s="79">
        <f t="shared" si="0"/>
        <v>79</v>
      </c>
    </row>
    <row r="43" spans="1:26" s="5" customFormat="1" ht="16.5" customHeight="1">
      <c r="A43" s="97" t="str">
        <f>"前年"&amp;COUNTA(E29:E40)&amp;"月迄"</f>
        <v>前年12月迄</v>
      </c>
      <c r="B43" s="98"/>
      <c r="C43" s="80">
        <f ca="1">SUM(C17:(INDIRECT("c"&amp;COUNT($E29:$E40)+16)))</f>
        <v>7</v>
      </c>
      <c r="D43" s="80">
        <f ca="1">SUM(D17:(INDIRECT("d"&amp;COUNT($E29:$E40)+16)))</f>
        <v>538</v>
      </c>
      <c r="E43" s="80">
        <f ca="1">SUM(E17:(INDIRECT("e"&amp;COUNT($E29:$E40)+16)))</f>
        <v>0</v>
      </c>
      <c r="F43" s="80">
        <f ca="1">SUM(F17:(INDIRECT("f"&amp;COUNT($E29:$E40)+16)))</f>
        <v>124</v>
      </c>
      <c r="G43" s="80">
        <f ca="1">SUM(G17:(INDIRECT("ｇ"&amp;COUNT($E29:$E40)+16)))</f>
        <v>0</v>
      </c>
      <c r="H43" s="80">
        <f ca="1">SUM(H17:(INDIRECT("ｈ"&amp;COUNT($E29:$E40)+16)))</f>
        <v>0</v>
      </c>
      <c r="I43" s="80">
        <f ca="1">SUM(I17:(INDIRECT("i"&amp;COUNT($E29:$E40)+16)))</f>
        <v>0</v>
      </c>
      <c r="J43" s="80">
        <f ca="1">SUM(J17:(INDIRECT("j"&amp;COUNT($E29:$E40)+16)))</f>
        <v>3</v>
      </c>
      <c r="K43" s="80">
        <f ca="1">SUM(K17:(INDIRECT("k"&amp;COUNT($E29:$E40)+16)))</f>
        <v>2</v>
      </c>
      <c r="L43" s="80">
        <f ca="1">SUM(L17:(INDIRECT("l"&amp;COUNT($E29:$E40)+16)))</f>
        <v>93</v>
      </c>
      <c r="M43" s="80">
        <f ca="1">SUM(M17:(INDIRECT("m"&amp;COUNT($E29:$E40)+16)))</f>
        <v>1</v>
      </c>
      <c r="N43" s="80">
        <f ca="1">SUM(N17:(INDIRECT("n"&amp;COUNT($E29:$E40)+16)))</f>
        <v>64</v>
      </c>
      <c r="O43" s="80">
        <f ca="1">SUM(O17:(INDIRECT("o"&amp;COUNT($E29:$E40)+16)))</f>
        <v>2</v>
      </c>
      <c r="P43" s="80">
        <f ca="1">SUM(P17:(INDIRECT("p"&amp;COUNT($E29:$E40)+16)))</f>
        <v>7</v>
      </c>
      <c r="Q43" s="80">
        <f ca="1">SUM(Q17:(INDIRECT("q"&amp;COUNT($E29:$E40)+16)))</f>
        <v>0</v>
      </c>
      <c r="R43" s="80">
        <f ca="1">SUM(R17:(INDIRECT("r"&amp;COUNT($E29:$E40)+16)))</f>
        <v>64</v>
      </c>
      <c r="S43" s="80">
        <f ca="1">SUM(S17:(INDIRECT("s"&amp;COUNT($E29:$E40)+16)))</f>
        <v>0</v>
      </c>
      <c r="T43" s="80">
        <f ca="1">SUM(T17:(INDIRECT("t"&amp;COUNT($E29:$E40)+16)))</f>
        <v>47</v>
      </c>
      <c r="U43" s="80">
        <f ca="1">SUM(U17:(INDIRECT("u"&amp;COUNT($E29:$E40)+16)))</f>
        <v>1</v>
      </c>
      <c r="V43" s="80">
        <f ca="1">SUM(V17:(INDIRECT("v"&amp;COUNT($E29:$E40)+16)))</f>
        <v>21</v>
      </c>
      <c r="W43" s="80">
        <f ca="1">SUM(W17:(INDIRECT("w"&amp;COUNT($E29:$E40)+16)))</f>
        <v>0</v>
      </c>
      <c r="X43" s="80">
        <f ca="1">SUM(X17:(INDIRECT("x"&amp;COUNT($E29:$E40)+16)))</f>
        <v>25</v>
      </c>
      <c r="Y43" s="80">
        <f ca="1">SUM(Y17:(INDIRECT("y"&amp;COUNT($E29:$E40)+16)))</f>
        <v>1</v>
      </c>
      <c r="Z43" s="81">
        <f ca="1">SUM(Z17:(INDIRECT("z"&amp;COUNT($E29:$E40)+16)))</f>
        <v>90</v>
      </c>
    </row>
    <row r="44" spans="1:26" s="5" customFormat="1" ht="16.5" customHeight="1" thickBot="1">
      <c r="A44" s="99" t="s">
        <v>36</v>
      </c>
      <c r="B44" s="100"/>
      <c r="C44" s="82">
        <f>C42-C43</f>
        <v>-2</v>
      </c>
      <c r="D44" s="62">
        <f aca="true" t="shared" si="1" ref="D44:Z44">D42-D43</f>
        <v>-30</v>
      </c>
      <c r="E44" s="62">
        <f t="shared" si="1"/>
        <v>0</v>
      </c>
      <c r="F44" s="62">
        <f t="shared" si="1"/>
        <v>6</v>
      </c>
      <c r="G44" s="62">
        <f t="shared" si="1"/>
        <v>0</v>
      </c>
      <c r="H44" s="62">
        <f t="shared" si="1"/>
        <v>0</v>
      </c>
      <c r="I44" s="62">
        <f t="shared" si="1"/>
        <v>0</v>
      </c>
      <c r="J44" s="66">
        <f t="shared" si="1"/>
        <v>-2</v>
      </c>
      <c r="K44" s="62">
        <f t="shared" si="1"/>
        <v>1</v>
      </c>
      <c r="L44" s="62">
        <f t="shared" si="1"/>
        <v>-17</v>
      </c>
      <c r="M44" s="62">
        <f t="shared" si="1"/>
        <v>1</v>
      </c>
      <c r="N44" s="62">
        <f t="shared" si="1"/>
        <v>5</v>
      </c>
      <c r="O44" s="62">
        <f t="shared" si="1"/>
        <v>-2</v>
      </c>
      <c r="P44" s="62">
        <f t="shared" si="1"/>
        <v>3</v>
      </c>
      <c r="Q44" s="62">
        <f t="shared" si="1"/>
        <v>0</v>
      </c>
      <c r="R44" s="62">
        <f t="shared" si="1"/>
        <v>8</v>
      </c>
      <c r="S44" s="82">
        <f t="shared" si="1"/>
        <v>0</v>
      </c>
      <c r="T44" s="62">
        <f t="shared" si="1"/>
        <v>-11</v>
      </c>
      <c r="U44" s="62">
        <f t="shared" si="1"/>
        <v>-1</v>
      </c>
      <c r="V44" s="62">
        <f t="shared" si="1"/>
        <v>-7</v>
      </c>
      <c r="W44" s="62">
        <f t="shared" si="1"/>
        <v>0</v>
      </c>
      <c r="X44" s="62">
        <f t="shared" si="1"/>
        <v>-4</v>
      </c>
      <c r="Y44" s="62">
        <f t="shared" si="1"/>
        <v>-1</v>
      </c>
      <c r="Z44" s="63">
        <f t="shared" si="1"/>
        <v>-11</v>
      </c>
    </row>
    <row r="45" s="5" customFormat="1" ht="16.5" customHeight="1">
      <c r="A45" s="5" t="s">
        <v>28</v>
      </c>
    </row>
    <row r="46" s="2" customFormat="1" ht="16.5" customHeight="1">
      <c r="A46" s="5" t="s">
        <v>34</v>
      </c>
    </row>
    <row r="47" s="5" customFormat="1" ht="16.5" customHeight="1">
      <c r="A47" s="5" t="s">
        <v>30</v>
      </c>
    </row>
    <row r="48" s="5" customFormat="1" ht="16.5" customHeight="1">
      <c r="B48" s="5" t="s">
        <v>31</v>
      </c>
    </row>
    <row r="49" s="5" customFormat="1" ht="16.5" customHeight="1">
      <c r="B49" s="5" t="s">
        <v>32</v>
      </c>
    </row>
    <row r="50" s="5" customFormat="1" ht="16.5" customHeight="1">
      <c r="B50" s="5" t="s">
        <v>33</v>
      </c>
    </row>
    <row r="51" s="5" customFormat="1" ht="16.5" customHeight="1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</sheetData>
  <sheetProtection/>
  <mergeCells count="16">
    <mergeCell ref="A4:B5"/>
    <mergeCell ref="C4:D4"/>
    <mergeCell ref="E4:F4"/>
    <mergeCell ref="G4:H4"/>
    <mergeCell ref="I4:J4"/>
    <mergeCell ref="K4:L4"/>
    <mergeCell ref="Y4:Z4"/>
    <mergeCell ref="A42:B42"/>
    <mergeCell ref="A43:B43"/>
    <mergeCell ref="A44:B44"/>
    <mergeCell ref="M4:N4"/>
    <mergeCell ref="O4:P4"/>
    <mergeCell ref="Q4:R4"/>
    <mergeCell ref="S4:T4"/>
    <mergeCell ref="U4:V4"/>
    <mergeCell ref="W4:X4"/>
  </mergeCells>
  <conditionalFormatting sqref="C42:Z44">
    <cfRule type="cellIs" priority="1" dxfId="18" operator="lessThan" stopIfTrue="1">
      <formula>0</formula>
    </cfRule>
    <cfRule type="cellIs" priority="2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625" style="1" customWidth="1"/>
    <col min="2" max="2" width="5.375" style="1" customWidth="1"/>
    <col min="3" max="26" width="6.625" style="1" customWidth="1"/>
    <col min="27" max="16384" width="9.00390625" style="1" customWidth="1"/>
  </cols>
  <sheetData>
    <row r="1" ht="16.5" customHeight="1">
      <c r="A1" s="3" t="s">
        <v>59</v>
      </c>
    </row>
    <row r="2" ht="13.5" customHeight="1"/>
    <row r="3" spans="1:4" s="5" customFormat="1" ht="16.5" customHeight="1">
      <c r="A3" s="4" t="s">
        <v>14</v>
      </c>
      <c r="D3" s="41"/>
    </row>
    <row r="4" spans="1:26" s="4" customFormat="1" ht="18.75" customHeight="1">
      <c r="A4" s="87" t="s">
        <v>0</v>
      </c>
      <c r="B4" s="88"/>
      <c r="C4" s="91" t="s">
        <v>23</v>
      </c>
      <c r="D4" s="92"/>
      <c r="E4" s="93" t="s">
        <v>17</v>
      </c>
      <c r="F4" s="94"/>
      <c r="G4" s="91" t="s">
        <v>24</v>
      </c>
      <c r="H4" s="94"/>
      <c r="I4" s="91" t="s">
        <v>18</v>
      </c>
      <c r="J4" s="94"/>
      <c r="K4" s="91" t="s">
        <v>19</v>
      </c>
      <c r="L4" s="94"/>
      <c r="M4" s="91" t="s">
        <v>20</v>
      </c>
      <c r="N4" s="94"/>
      <c r="O4" s="91" t="s">
        <v>25</v>
      </c>
      <c r="P4" s="94"/>
      <c r="Q4" s="91" t="s">
        <v>26</v>
      </c>
      <c r="R4" s="94"/>
      <c r="S4" s="91" t="s">
        <v>27</v>
      </c>
      <c r="T4" s="94"/>
      <c r="U4" s="91" t="s">
        <v>35</v>
      </c>
      <c r="V4" s="94"/>
      <c r="W4" s="91" t="s">
        <v>21</v>
      </c>
      <c r="X4" s="94"/>
      <c r="Y4" s="91" t="s">
        <v>22</v>
      </c>
      <c r="Z4" s="94"/>
    </row>
    <row r="5" spans="1:26" s="18" customFormat="1" ht="18.75" customHeight="1">
      <c r="A5" s="89"/>
      <c r="B5" s="90"/>
      <c r="C5" s="12" t="s">
        <v>15</v>
      </c>
      <c r="D5" s="22" t="s">
        <v>16</v>
      </c>
      <c r="E5" s="42" t="s">
        <v>15</v>
      </c>
      <c r="F5" s="13" t="s">
        <v>16</v>
      </c>
      <c r="G5" s="17" t="s">
        <v>15</v>
      </c>
      <c r="H5" s="22" t="s">
        <v>16</v>
      </c>
      <c r="I5" s="23" t="s">
        <v>15</v>
      </c>
      <c r="J5" s="13" t="s">
        <v>16</v>
      </c>
      <c r="K5" s="17" t="s">
        <v>15</v>
      </c>
      <c r="L5" s="22" t="s">
        <v>16</v>
      </c>
      <c r="M5" s="23" t="s">
        <v>15</v>
      </c>
      <c r="N5" s="13" t="s">
        <v>16</v>
      </c>
      <c r="O5" s="17" t="s">
        <v>15</v>
      </c>
      <c r="P5" s="22" t="s">
        <v>16</v>
      </c>
      <c r="Q5" s="23" t="s">
        <v>15</v>
      </c>
      <c r="R5" s="13" t="s">
        <v>16</v>
      </c>
      <c r="S5" s="12" t="s">
        <v>15</v>
      </c>
      <c r="T5" s="24" t="s">
        <v>16</v>
      </c>
      <c r="U5" s="17" t="s">
        <v>15</v>
      </c>
      <c r="V5" s="24" t="s">
        <v>16</v>
      </c>
      <c r="W5" s="23" t="s">
        <v>15</v>
      </c>
      <c r="X5" s="13" t="s">
        <v>16</v>
      </c>
      <c r="Y5" s="17" t="s">
        <v>15</v>
      </c>
      <c r="Z5" s="24" t="s">
        <v>16</v>
      </c>
    </row>
    <row r="6" spans="1:26" s="5" customFormat="1" ht="18.75" customHeight="1">
      <c r="A6" s="6" t="s">
        <v>40</v>
      </c>
      <c r="B6" s="7" t="s">
        <v>1</v>
      </c>
      <c r="C6" s="19">
        <v>7</v>
      </c>
      <c r="D6" s="25">
        <v>562</v>
      </c>
      <c r="E6" s="43">
        <v>0</v>
      </c>
      <c r="F6" s="27">
        <v>159</v>
      </c>
      <c r="G6" s="28">
        <v>0</v>
      </c>
      <c r="H6" s="25">
        <v>2</v>
      </c>
      <c r="I6" s="26">
        <v>0</v>
      </c>
      <c r="J6" s="27">
        <v>5</v>
      </c>
      <c r="K6" s="28">
        <v>2</v>
      </c>
      <c r="L6" s="25">
        <v>91</v>
      </c>
      <c r="M6" s="26">
        <v>2</v>
      </c>
      <c r="N6" s="27">
        <v>76</v>
      </c>
      <c r="O6" s="28">
        <v>0</v>
      </c>
      <c r="P6" s="25">
        <v>16</v>
      </c>
      <c r="Q6" s="26">
        <v>2</v>
      </c>
      <c r="R6" s="27">
        <v>64</v>
      </c>
      <c r="S6" s="19">
        <v>0</v>
      </c>
      <c r="T6" s="29">
        <v>40</v>
      </c>
      <c r="U6" s="28">
        <v>0</v>
      </c>
      <c r="V6" s="29">
        <v>0</v>
      </c>
      <c r="W6" s="26">
        <v>1</v>
      </c>
      <c r="X6" s="27">
        <v>25</v>
      </c>
      <c r="Y6" s="28">
        <v>0</v>
      </c>
      <c r="Z6" s="29">
        <v>84</v>
      </c>
    </row>
    <row r="7" spans="1:26" s="5" customFormat="1" ht="18.75" customHeight="1">
      <c r="A7" s="8" t="s">
        <v>41</v>
      </c>
      <c r="B7" s="14" t="s">
        <v>1</v>
      </c>
      <c r="C7" s="19">
        <v>5</v>
      </c>
      <c r="D7" s="25">
        <v>548</v>
      </c>
      <c r="E7" s="44">
        <v>1</v>
      </c>
      <c r="F7" s="29">
        <v>170</v>
      </c>
      <c r="G7" s="19">
        <v>0</v>
      </c>
      <c r="H7" s="25">
        <v>0</v>
      </c>
      <c r="I7" s="19">
        <v>0</v>
      </c>
      <c r="J7" s="25">
        <v>2</v>
      </c>
      <c r="K7" s="19">
        <v>0</v>
      </c>
      <c r="L7" s="25">
        <v>88</v>
      </c>
      <c r="M7" s="19">
        <v>1</v>
      </c>
      <c r="N7" s="25">
        <v>79</v>
      </c>
      <c r="O7" s="19">
        <v>1</v>
      </c>
      <c r="P7" s="25">
        <v>8</v>
      </c>
      <c r="Q7" s="19">
        <v>1</v>
      </c>
      <c r="R7" s="29">
        <v>69</v>
      </c>
      <c r="S7" s="19">
        <v>0</v>
      </c>
      <c r="T7" s="29">
        <v>35</v>
      </c>
      <c r="U7" s="28">
        <v>0</v>
      </c>
      <c r="V7" s="29">
        <v>0</v>
      </c>
      <c r="W7" s="19">
        <v>0</v>
      </c>
      <c r="X7" s="25">
        <v>10</v>
      </c>
      <c r="Y7" s="19">
        <v>1</v>
      </c>
      <c r="Z7" s="29">
        <v>87</v>
      </c>
    </row>
    <row r="8" spans="1:26" s="5" customFormat="1" ht="18.75" customHeight="1">
      <c r="A8" s="8" t="s">
        <v>42</v>
      </c>
      <c r="B8" s="14" t="s">
        <v>1</v>
      </c>
      <c r="C8" s="19">
        <v>11</v>
      </c>
      <c r="D8" s="25">
        <v>515</v>
      </c>
      <c r="E8" s="44">
        <v>1</v>
      </c>
      <c r="F8" s="29">
        <v>159</v>
      </c>
      <c r="G8" s="19">
        <v>0</v>
      </c>
      <c r="H8" s="25">
        <v>0</v>
      </c>
      <c r="I8" s="19">
        <v>0</v>
      </c>
      <c r="J8" s="25">
        <v>0</v>
      </c>
      <c r="K8" s="19">
        <v>4</v>
      </c>
      <c r="L8" s="25">
        <v>66</v>
      </c>
      <c r="M8" s="19">
        <v>4</v>
      </c>
      <c r="N8" s="25">
        <v>64</v>
      </c>
      <c r="O8" s="19">
        <v>0</v>
      </c>
      <c r="P8" s="25">
        <v>15</v>
      </c>
      <c r="Q8" s="19">
        <v>2</v>
      </c>
      <c r="R8" s="25">
        <v>71</v>
      </c>
      <c r="S8" s="19">
        <v>0</v>
      </c>
      <c r="T8" s="25">
        <v>39</v>
      </c>
      <c r="U8" s="19">
        <v>0</v>
      </c>
      <c r="V8" s="29">
        <v>20</v>
      </c>
      <c r="W8" s="19">
        <v>0</v>
      </c>
      <c r="X8" s="25">
        <v>19</v>
      </c>
      <c r="Y8" s="19">
        <v>0</v>
      </c>
      <c r="Z8" s="29">
        <v>62</v>
      </c>
    </row>
    <row r="9" spans="1:26" s="5" customFormat="1" ht="18.75" customHeight="1">
      <c r="A9" s="8" t="s">
        <v>43</v>
      </c>
      <c r="B9" s="14" t="s">
        <v>1</v>
      </c>
      <c r="C9" s="19">
        <v>9</v>
      </c>
      <c r="D9" s="25">
        <v>489</v>
      </c>
      <c r="E9" s="44">
        <v>1</v>
      </c>
      <c r="F9" s="29">
        <v>140</v>
      </c>
      <c r="G9" s="19">
        <v>0</v>
      </c>
      <c r="H9" s="25">
        <v>0</v>
      </c>
      <c r="I9" s="19">
        <v>0</v>
      </c>
      <c r="J9" s="25">
        <v>1</v>
      </c>
      <c r="K9" s="19">
        <v>4</v>
      </c>
      <c r="L9" s="25">
        <v>62</v>
      </c>
      <c r="M9" s="19">
        <v>1</v>
      </c>
      <c r="N9" s="25">
        <v>61</v>
      </c>
      <c r="O9" s="19">
        <v>0</v>
      </c>
      <c r="P9" s="25">
        <v>11</v>
      </c>
      <c r="Q9" s="19">
        <v>1</v>
      </c>
      <c r="R9" s="25">
        <v>68</v>
      </c>
      <c r="S9" s="19">
        <v>1</v>
      </c>
      <c r="T9" s="25">
        <v>45</v>
      </c>
      <c r="U9" s="19">
        <v>0</v>
      </c>
      <c r="V9" s="29">
        <v>19</v>
      </c>
      <c r="W9" s="19">
        <v>0</v>
      </c>
      <c r="X9" s="25">
        <v>18</v>
      </c>
      <c r="Y9" s="19">
        <v>1</v>
      </c>
      <c r="Z9" s="29">
        <v>64</v>
      </c>
    </row>
    <row r="10" spans="1:26" s="14" customFormat="1" ht="18.75" customHeight="1">
      <c r="A10" s="8" t="s">
        <v>44</v>
      </c>
      <c r="B10" s="14" t="s">
        <v>1</v>
      </c>
      <c r="C10" s="19">
        <v>5</v>
      </c>
      <c r="D10" s="25">
        <v>526</v>
      </c>
      <c r="E10" s="43">
        <v>0</v>
      </c>
      <c r="F10" s="29">
        <v>146</v>
      </c>
      <c r="G10" s="19">
        <v>0</v>
      </c>
      <c r="H10" s="25">
        <v>0</v>
      </c>
      <c r="I10" s="19">
        <v>0</v>
      </c>
      <c r="J10" s="25">
        <v>3</v>
      </c>
      <c r="K10" s="19">
        <v>2</v>
      </c>
      <c r="L10" s="25">
        <v>65</v>
      </c>
      <c r="M10" s="19">
        <v>0</v>
      </c>
      <c r="N10" s="25">
        <v>73</v>
      </c>
      <c r="O10" s="19">
        <v>0</v>
      </c>
      <c r="P10" s="25">
        <v>16</v>
      </c>
      <c r="Q10" s="19">
        <v>1</v>
      </c>
      <c r="R10" s="25">
        <v>72</v>
      </c>
      <c r="S10" s="19">
        <v>1</v>
      </c>
      <c r="T10" s="25">
        <v>45</v>
      </c>
      <c r="U10" s="19">
        <v>0</v>
      </c>
      <c r="V10" s="29">
        <v>13</v>
      </c>
      <c r="W10" s="19">
        <v>0</v>
      </c>
      <c r="X10" s="25">
        <v>13</v>
      </c>
      <c r="Y10" s="19">
        <v>1</v>
      </c>
      <c r="Z10" s="29">
        <v>80</v>
      </c>
    </row>
    <row r="11" spans="1:26" s="14" customFormat="1" ht="18.75" customHeight="1">
      <c r="A11" s="8" t="s">
        <v>45</v>
      </c>
      <c r="B11" s="14" t="s">
        <v>1</v>
      </c>
      <c r="C11" s="19">
        <v>11</v>
      </c>
      <c r="D11" s="25">
        <v>475</v>
      </c>
      <c r="E11" s="43">
        <v>0</v>
      </c>
      <c r="F11" s="29">
        <v>123</v>
      </c>
      <c r="G11" s="19">
        <v>0</v>
      </c>
      <c r="H11" s="25">
        <v>1</v>
      </c>
      <c r="I11" s="19">
        <v>0</v>
      </c>
      <c r="J11" s="25">
        <v>1</v>
      </c>
      <c r="K11" s="19">
        <v>2</v>
      </c>
      <c r="L11" s="25">
        <v>52</v>
      </c>
      <c r="M11" s="19">
        <v>3</v>
      </c>
      <c r="N11" s="25">
        <v>71</v>
      </c>
      <c r="O11" s="19">
        <v>1</v>
      </c>
      <c r="P11" s="25">
        <v>13</v>
      </c>
      <c r="Q11" s="19">
        <v>5</v>
      </c>
      <c r="R11" s="25">
        <v>60</v>
      </c>
      <c r="S11" s="19">
        <v>0</v>
      </c>
      <c r="T11" s="25">
        <v>42</v>
      </c>
      <c r="U11" s="19">
        <v>0</v>
      </c>
      <c r="V11" s="29">
        <v>17</v>
      </c>
      <c r="W11" s="19">
        <v>0</v>
      </c>
      <c r="X11" s="25">
        <v>19</v>
      </c>
      <c r="Y11" s="19">
        <v>0</v>
      </c>
      <c r="Z11" s="29">
        <v>76</v>
      </c>
    </row>
    <row r="12" spans="1:26" s="14" customFormat="1" ht="18.75" customHeight="1">
      <c r="A12" s="8" t="s">
        <v>46</v>
      </c>
      <c r="B12" s="14" t="s">
        <v>1</v>
      </c>
      <c r="C12" s="19">
        <v>3</v>
      </c>
      <c r="D12" s="25">
        <v>513</v>
      </c>
      <c r="E12" s="43">
        <v>2</v>
      </c>
      <c r="F12" s="29">
        <v>130</v>
      </c>
      <c r="G12" s="19">
        <v>0</v>
      </c>
      <c r="H12" s="25">
        <v>0</v>
      </c>
      <c r="I12" s="19">
        <v>0</v>
      </c>
      <c r="J12" s="25">
        <v>2</v>
      </c>
      <c r="K12" s="19">
        <v>0</v>
      </c>
      <c r="L12" s="25">
        <v>71</v>
      </c>
      <c r="M12" s="19">
        <v>1</v>
      </c>
      <c r="N12" s="25">
        <v>74</v>
      </c>
      <c r="O12" s="19">
        <v>0</v>
      </c>
      <c r="P12" s="25">
        <v>10</v>
      </c>
      <c r="Q12" s="19">
        <v>0</v>
      </c>
      <c r="R12" s="25">
        <v>64</v>
      </c>
      <c r="S12" s="19">
        <v>0</v>
      </c>
      <c r="T12" s="25">
        <v>38</v>
      </c>
      <c r="U12" s="19">
        <v>0</v>
      </c>
      <c r="V12" s="29">
        <v>28</v>
      </c>
      <c r="W12" s="19">
        <v>0</v>
      </c>
      <c r="X12" s="25">
        <v>19</v>
      </c>
      <c r="Y12" s="19">
        <v>0</v>
      </c>
      <c r="Z12" s="29">
        <v>77</v>
      </c>
    </row>
    <row r="13" spans="1:26" s="14" customFormat="1" ht="18.75" customHeight="1">
      <c r="A13" s="8" t="s">
        <v>47</v>
      </c>
      <c r="B13" s="14" t="s">
        <v>1</v>
      </c>
      <c r="C13" s="19">
        <v>6</v>
      </c>
      <c r="D13" s="25">
        <v>470</v>
      </c>
      <c r="E13" s="43">
        <v>0</v>
      </c>
      <c r="F13" s="29">
        <v>117</v>
      </c>
      <c r="G13" s="19">
        <v>0</v>
      </c>
      <c r="H13" s="25">
        <v>0</v>
      </c>
      <c r="I13" s="19">
        <v>0</v>
      </c>
      <c r="J13" s="25">
        <v>1</v>
      </c>
      <c r="K13" s="19">
        <v>2</v>
      </c>
      <c r="L13" s="25">
        <v>65</v>
      </c>
      <c r="M13" s="19">
        <v>1</v>
      </c>
      <c r="N13" s="25">
        <v>52</v>
      </c>
      <c r="O13" s="19">
        <v>1</v>
      </c>
      <c r="P13" s="25">
        <v>12</v>
      </c>
      <c r="Q13" s="19">
        <v>1</v>
      </c>
      <c r="R13" s="25">
        <v>73</v>
      </c>
      <c r="S13" s="19">
        <v>1</v>
      </c>
      <c r="T13" s="25">
        <v>33</v>
      </c>
      <c r="U13" s="19">
        <v>0</v>
      </c>
      <c r="V13" s="29">
        <v>11</v>
      </c>
      <c r="W13" s="19">
        <v>0</v>
      </c>
      <c r="X13" s="25">
        <v>15</v>
      </c>
      <c r="Y13" s="19">
        <v>0</v>
      </c>
      <c r="Z13" s="29">
        <v>91</v>
      </c>
    </row>
    <row r="14" spans="1:26" s="14" customFormat="1" ht="18.75" customHeight="1">
      <c r="A14" s="8" t="s">
        <v>48</v>
      </c>
      <c r="B14" s="14" t="s">
        <v>1</v>
      </c>
      <c r="C14" s="19">
        <v>7</v>
      </c>
      <c r="D14" s="25">
        <v>502</v>
      </c>
      <c r="E14" s="43">
        <v>2</v>
      </c>
      <c r="F14" s="29">
        <v>119</v>
      </c>
      <c r="G14" s="19">
        <v>0</v>
      </c>
      <c r="H14" s="25">
        <v>0</v>
      </c>
      <c r="I14" s="19">
        <v>0</v>
      </c>
      <c r="J14" s="25">
        <v>2</v>
      </c>
      <c r="K14" s="19">
        <v>1</v>
      </c>
      <c r="L14" s="25">
        <v>87</v>
      </c>
      <c r="M14" s="19">
        <v>1</v>
      </c>
      <c r="N14" s="25">
        <v>54</v>
      </c>
      <c r="O14" s="19">
        <v>0</v>
      </c>
      <c r="P14" s="25">
        <v>8</v>
      </c>
      <c r="Q14" s="19">
        <v>2</v>
      </c>
      <c r="R14" s="25">
        <v>70</v>
      </c>
      <c r="S14" s="19">
        <v>0</v>
      </c>
      <c r="T14" s="25">
        <v>43</v>
      </c>
      <c r="U14" s="19">
        <v>0</v>
      </c>
      <c r="V14" s="29">
        <v>10</v>
      </c>
      <c r="W14" s="19">
        <v>0</v>
      </c>
      <c r="X14" s="25">
        <v>17</v>
      </c>
      <c r="Y14" s="19">
        <v>1</v>
      </c>
      <c r="Z14" s="29">
        <v>92</v>
      </c>
    </row>
    <row r="15" spans="1:26" s="14" customFormat="1" ht="18.75" customHeight="1" thickBot="1">
      <c r="A15" s="8" t="s">
        <v>49</v>
      </c>
      <c r="B15" s="14" t="s">
        <v>1</v>
      </c>
      <c r="C15" s="19">
        <v>7</v>
      </c>
      <c r="D15" s="25">
        <v>549</v>
      </c>
      <c r="E15" s="43">
        <v>1</v>
      </c>
      <c r="F15" s="29">
        <v>135</v>
      </c>
      <c r="G15" s="19">
        <v>0</v>
      </c>
      <c r="H15" s="25">
        <v>1</v>
      </c>
      <c r="I15" s="19">
        <v>0</v>
      </c>
      <c r="J15" s="25">
        <v>1</v>
      </c>
      <c r="K15" s="19">
        <v>2</v>
      </c>
      <c r="L15" s="25">
        <v>82</v>
      </c>
      <c r="M15" s="19">
        <v>0</v>
      </c>
      <c r="N15" s="25">
        <v>65</v>
      </c>
      <c r="O15" s="19">
        <v>0</v>
      </c>
      <c r="P15" s="25">
        <v>13</v>
      </c>
      <c r="Q15" s="19">
        <v>1</v>
      </c>
      <c r="R15" s="25">
        <v>53</v>
      </c>
      <c r="S15" s="19">
        <v>1</v>
      </c>
      <c r="T15" s="25">
        <v>50</v>
      </c>
      <c r="U15" s="19">
        <v>0</v>
      </c>
      <c r="V15" s="29">
        <v>25</v>
      </c>
      <c r="W15" s="19">
        <v>1</v>
      </c>
      <c r="X15" s="25">
        <v>26</v>
      </c>
      <c r="Y15" s="19">
        <v>1</v>
      </c>
      <c r="Z15" s="29">
        <v>98</v>
      </c>
    </row>
    <row r="16" spans="1:26" s="5" customFormat="1" ht="16.5" customHeight="1" thickTop="1">
      <c r="A16" s="15" t="s">
        <v>49</v>
      </c>
      <c r="B16" s="16" t="s">
        <v>2</v>
      </c>
      <c r="C16" s="20">
        <v>0</v>
      </c>
      <c r="D16" s="30">
        <v>51</v>
      </c>
      <c r="E16" s="45">
        <v>0</v>
      </c>
      <c r="F16" s="32">
        <v>11</v>
      </c>
      <c r="G16" s="33">
        <v>0</v>
      </c>
      <c r="H16" s="30">
        <v>0</v>
      </c>
      <c r="I16" s="31">
        <v>0</v>
      </c>
      <c r="J16" s="32">
        <v>0</v>
      </c>
      <c r="K16" s="33">
        <v>0</v>
      </c>
      <c r="L16" s="30">
        <v>8</v>
      </c>
      <c r="M16" s="31">
        <v>0</v>
      </c>
      <c r="N16" s="32">
        <v>12</v>
      </c>
      <c r="O16" s="33">
        <v>0</v>
      </c>
      <c r="P16" s="30">
        <v>1</v>
      </c>
      <c r="Q16" s="31">
        <v>0</v>
      </c>
      <c r="R16" s="32">
        <v>2</v>
      </c>
      <c r="S16" s="20">
        <v>0</v>
      </c>
      <c r="T16" s="34">
        <v>5</v>
      </c>
      <c r="U16" s="33">
        <v>0</v>
      </c>
      <c r="V16" s="34">
        <v>2</v>
      </c>
      <c r="W16" s="31">
        <v>0</v>
      </c>
      <c r="X16" s="32">
        <v>2</v>
      </c>
      <c r="Y16" s="33">
        <v>0</v>
      </c>
      <c r="Z16" s="34">
        <v>8</v>
      </c>
    </row>
    <row r="17" spans="1:26" s="5" customFormat="1" ht="16.5" customHeight="1">
      <c r="A17" s="8"/>
      <c r="B17" s="9" t="s">
        <v>3</v>
      </c>
      <c r="C17" s="19">
        <v>1</v>
      </c>
      <c r="D17" s="25">
        <v>49</v>
      </c>
      <c r="E17" s="43">
        <v>1</v>
      </c>
      <c r="F17" s="27">
        <v>20</v>
      </c>
      <c r="G17" s="28">
        <v>0</v>
      </c>
      <c r="H17" s="25">
        <v>0</v>
      </c>
      <c r="I17" s="26">
        <v>0</v>
      </c>
      <c r="J17" s="27">
        <v>0</v>
      </c>
      <c r="K17" s="28">
        <v>0</v>
      </c>
      <c r="L17" s="25">
        <v>5</v>
      </c>
      <c r="M17" s="26">
        <v>0</v>
      </c>
      <c r="N17" s="27">
        <v>7</v>
      </c>
      <c r="O17" s="28">
        <v>0</v>
      </c>
      <c r="P17" s="25">
        <v>1</v>
      </c>
      <c r="Q17" s="26">
        <v>0</v>
      </c>
      <c r="R17" s="27">
        <v>2</v>
      </c>
      <c r="S17" s="19">
        <v>0</v>
      </c>
      <c r="T17" s="29">
        <v>3</v>
      </c>
      <c r="U17" s="28">
        <v>0</v>
      </c>
      <c r="V17" s="29">
        <v>1</v>
      </c>
      <c r="W17" s="26">
        <v>0</v>
      </c>
      <c r="X17" s="27">
        <v>1</v>
      </c>
      <c r="Y17" s="28">
        <v>0</v>
      </c>
      <c r="Z17" s="29">
        <v>9</v>
      </c>
    </row>
    <row r="18" spans="1:26" s="5" customFormat="1" ht="16.5" customHeight="1">
      <c r="A18" s="8"/>
      <c r="B18" s="9" t="s">
        <v>4</v>
      </c>
      <c r="C18" s="19">
        <v>1</v>
      </c>
      <c r="D18" s="25">
        <v>46</v>
      </c>
      <c r="E18" s="43">
        <v>0</v>
      </c>
      <c r="F18" s="27">
        <v>10</v>
      </c>
      <c r="G18" s="28">
        <v>0</v>
      </c>
      <c r="H18" s="25">
        <v>0</v>
      </c>
      <c r="I18" s="26">
        <v>0</v>
      </c>
      <c r="J18" s="27">
        <v>0</v>
      </c>
      <c r="K18" s="28">
        <v>0</v>
      </c>
      <c r="L18" s="25">
        <v>8</v>
      </c>
      <c r="M18" s="26">
        <v>0</v>
      </c>
      <c r="N18" s="27">
        <v>8</v>
      </c>
      <c r="O18" s="28">
        <v>0</v>
      </c>
      <c r="P18" s="25">
        <v>0</v>
      </c>
      <c r="Q18" s="26">
        <v>0</v>
      </c>
      <c r="R18" s="27">
        <v>1</v>
      </c>
      <c r="S18" s="19">
        <v>1</v>
      </c>
      <c r="T18" s="29">
        <v>5</v>
      </c>
      <c r="U18" s="28">
        <v>0</v>
      </c>
      <c r="V18" s="29">
        <v>2</v>
      </c>
      <c r="W18" s="26">
        <v>0</v>
      </c>
      <c r="X18" s="27">
        <v>2</v>
      </c>
      <c r="Y18" s="28">
        <v>0</v>
      </c>
      <c r="Z18" s="29">
        <v>10</v>
      </c>
    </row>
    <row r="19" spans="1:26" s="5" customFormat="1" ht="16.5" customHeight="1">
      <c r="A19" s="8"/>
      <c r="B19" s="9" t="s">
        <v>5</v>
      </c>
      <c r="C19" s="19">
        <v>1</v>
      </c>
      <c r="D19" s="25">
        <v>39</v>
      </c>
      <c r="E19" s="43">
        <v>0</v>
      </c>
      <c r="F19" s="27">
        <v>9</v>
      </c>
      <c r="G19" s="28">
        <v>0</v>
      </c>
      <c r="H19" s="25">
        <v>0</v>
      </c>
      <c r="I19" s="26">
        <v>0</v>
      </c>
      <c r="J19" s="27">
        <v>0</v>
      </c>
      <c r="K19" s="28">
        <v>0</v>
      </c>
      <c r="L19" s="25">
        <v>5</v>
      </c>
      <c r="M19" s="26">
        <v>0</v>
      </c>
      <c r="N19" s="27">
        <v>2</v>
      </c>
      <c r="O19" s="28">
        <v>0</v>
      </c>
      <c r="P19" s="25">
        <v>3</v>
      </c>
      <c r="Q19" s="26">
        <v>0</v>
      </c>
      <c r="R19" s="27">
        <v>3</v>
      </c>
      <c r="S19" s="19">
        <v>0</v>
      </c>
      <c r="T19" s="29">
        <v>5</v>
      </c>
      <c r="U19" s="28">
        <v>0</v>
      </c>
      <c r="V19" s="29">
        <v>1</v>
      </c>
      <c r="W19" s="26">
        <v>0</v>
      </c>
      <c r="X19" s="27">
        <v>3</v>
      </c>
      <c r="Y19" s="28">
        <v>1</v>
      </c>
      <c r="Z19" s="29">
        <v>8</v>
      </c>
    </row>
    <row r="20" spans="1:26" s="5" customFormat="1" ht="16.5" customHeight="1">
      <c r="A20" s="8"/>
      <c r="B20" s="9" t="s">
        <v>6</v>
      </c>
      <c r="C20" s="19">
        <v>0</v>
      </c>
      <c r="D20" s="25">
        <v>47</v>
      </c>
      <c r="E20" s="43">
        <v>0</v>
      </c>
      <c r="F20" s="27">
        <v>11</v>
      </c>
      <c r="G20" s="28">
        <v>0</v>
      </c>
      <c r="H20" s="25">
        <v>0</v>
      </c>
      <c r="I20" s="26">
        <v>0</v>
      </c>
      <c r="J20" s="27">
        <v>0</v>
      </c>
      <c r="K20" s="28">
        <v>0</v>
      </c>
      <c r="L20" s="25">
        <v>9</v>
      </c>
      <c r="M20" s="26">
        <v>0</v>
      </c>
      <c r="N20" s="27">
        <v>3</v>
      </c>
      <c r="O20" s="28">
        <v>0</v>
      </c>
      <c r="P20" s="25">
        <v>1</v>
      </c>
      <c r="Q20" s="26">
        <v>0</v>
      </c>
      <c r="R20" s="27">
        <v>8</v>
      </c>
      <c r="S20" s="19">
        <v>0</v>
      </c>
      <c r="T20" s="29">
        <v>6</v>
      </c>
      <c r="U20" s="28">
        <v>0</v>
      </c>
      <c r="V20" s="29">
        <v>3</v>
      </c>
      <c r="W20" s="26">
        <v>0</v>
      </c>
      <c r="X20" s="27">
        <v>2</v>
      </c>
      <c r="Y20" s="28">
        <v>0</v>
      </c>
      <c r="Z20" s="29">
        <v>4</v>
      </c>
    </row>
    <row r="21" spans="1:26" s="61" customFormat="1" ht="16.5" customHeight="1">
      <c r="A21" s="52"/>
      <c r="B21" s="53" t="s">
        <v>7</v>
      </c>
      <c r="C21" s="54">
        <v>1</v>
      </c>
      <c r="D21" s="55">
        <v>38</v>
      </c>
      <c r="E21" s="56">
        <v>0</v>
      </c>
      <c r="F21" s="57">
        <v>6</v>
      </c>
      <c r="G21" s="58">
        <v>0</v>
      </c>
      <c r="H21" s="55">
        <v>0</v>
      </c>
      <c r="I21" s="59">
        <v>0</v>
      </c>
      <c r="J21" s="57">
        <v>1</v>
      </c>
      <c r="K21" s="58">
        <v>1</v>
      </c>
      <c r="L21" s="55">
        <v>5</v>
      </c>
      <c r="M21" s="59">
        <v>0</v>
      </c>
      <c r="N21" s="57">
        <v>5</v>
      </c>
      <c r="O21" s="58">
        <v>0</v>
      </c>
      <c r="P21" s="55">
        <v>0</v>
      </c>
      <c r="Q21" s="59">
        <v>0</v>
      </c>
      <c r="R21" s="57">
        <v>7</v>
      </c>
      <c r="S21" s="54">
        <v>0</v>
      </c>
      <c r="T21" s="60">
        <v>2</v>
      </c>
      <c r="U21" s="58">
        <v>0</v>
      </c>
      <c r="V21" s="60">
        <v>1</v>
      </c>
      <c r="W21" s="59">
        <v>0</v>
      </c>
      <c r="X21" s="57">
        <v>2</v>
      </c>
      <c r="Y21" s="58">
        <v>0</v>
      </c>
      <c r="Z21" s="60">
        <v>9</v>
      </c>
    </row>
    <row r="22" spans="1:26" s="61" customFormat="1" ht="16.5" customHeight="1">
      <c r="A22" s="52"/>
      <c r="B22" s="53" t="s">
        <v>8</v>
      </c>
      <c r="C22" s="54">
        <v>0</v>
      </c>
      <c r="D22" s="55">
        <v>42</v>
      </c>
      <c r="E22" s="56">
        <v>0</v>
      </c>
      <c r="F22" s="57">
        <v>11</v>
      </c>
      <c r="G22" s="58">
        <v>0</v>
      </c>
      <c r="H22" s="55">
        <v>0</v>
      </c>
      <c r="I22" s="59">
        <v>0</v>
      </c>
      <c r="J22" s="57">
        <v>0</v>
      </c>
      <c r="K22" s="58">
        <v>0</v>
      </c>
      <c r="L22" s="55">
        <v>5</v>
      </c>
      <c r="M22" s="59">
        <v>0</v>
      </c>
      <c r="N22" s="57">
        <v>2</v>
      </c>
      <c r="O22" s="58">
        <v>0</v>
      </c>
      <c r="P22" s="55">
        <v>1</v>
      </c>
      <c r="Q22" s="59">
        <v>0</v>
      </c>
      <c r="R22" s="57">
        <v>2</v>
      </c>
      <c r="S22" s="54">
        <v>0</v>
      </c>
      <c r="T22" s="60">
        <v>6</v>
      </c>
      <c r="U22" s="58">
        <v>0</v>
      </c>
      <c r="V22" s="60">
        <v>4</v>
      </c>
      <c r="W22" s="59">
        <v>0</v>
      </c>
      <c r="X22" s="57">
        <v>2</v>
      </c>
      <c r="Y22" s="58">
        <v>0</v>
      </c>
      <c r="Z22" s="60">
        <v>9</v>
      </c>
    </row>
    <row r="23" spans="1:26" s="5" customFormat="1" ht="16.5" customHeight="1">
      <c r="A23" s="8"/>
      <c r="B23" s="9" t="s">
        <v>9</v>
      </c>
      <c r="C23" s="19">
        <v>0</v>
      </c>
      <c r="D23" s="25">
        <v>44</v>
      </c>
      <c r="E23" s="43">
        <v>0</v>
      </c>
      <c r="F23" s="27">
        <v>10</v>
      </c>
      <c r="G23" s="28">
        <v>0</v>
      </c>
      <c r="H23" s="25">
        <v>0</v>
      </c>
      <c r="I23" s="26">
        <v>0</v>
      </c>
      <c r="J23" s="27">
        <v>0</v>
      </c>
      <c r="K23" s="28">
        <v>0</v>
      </c>
      <c r="L23" s="25">
        <v>6</v>
      </c>
      <c r="M23" s="26">
        <v>0</v>
      </c>
      <c r="N23" s="27">
        <v>6</v>
      </c>
      <c r="O23" s="28">
        <v>0</v>
      </c>
      <c r="P23" s="25">
        <v>1</v>
      </c>
      <c r="Q23" s="26">
        <v>0</v>
      </c>
      <c r="R23" s="27">
        <v>3</v>
      </c>
      <c r="S23" s="19">
        <v>0</v>
      </c>
      <c r="T23" s="29">
        <v>4</v>
      </c>
      <c r="U23" s="28">
        <v>0</v>
      </c>
      <c r="V23" s="29">
        <v>4</v>
      </c>
      <c r="W23" s="26">
        <v>0</v>
      </c>
      <c r="X23" s="27">
        <v>2</v>
      </c>
      <c r="Y23" s="28">
        <v>0</v>
      </c>
      <c r="Z23" s="29">
        <v>8</v>
      </c>
    </row>
    <row r="24" spans="1:26" s="5" customFormat="1" ht="16.5" customHeight="1">
      <c r="A24" s="8"/>
      <c r="B24" s="9" t="s">
        <v>10</v>
      </c>
      <c r="C24" s="19">
        <v>0</v>
      </c>
      <c r="D24" s="25">
        <v>60</v>
      </c>
      <c r="E24" s="43">
        <v>0</v>
      </c>
      <c r="F24" s="27">
        <v>19</v>
      </c>
      <c r="G24" s="28">
        <v>0</v>
      </c>
      <c r="H24" s="25">
        <v>1</v>
      </c>
      <c r="I24" s="26">
        <v>0</v>
      </c>
      <c r="J24" s="27">
        <v>0</v>
      </c>
      <c r="K24" s="28">
        <v>0</v>
      </c>
      <c r="L24" s="25">
        <v>12</v>
      </c>
      <c r="M24" s="26">
        <v>0</v>
      </c>
      <c r="N24" s="27">
        <v>6</v>
      </c>
      <c r="O24" s="28">
        <v>0</v>
      </c>
      <c r="P24" s="25">
        <v>0</v>
      </c>
      <c r="Q24" s="26">
        <v>0</v>
      </c>
      <c r="R24" s="27">
        <v>7</v>
      </c>
      <c r="S24" s="19">
        <v>0</v>
      </c>
      <c r="T24" s="29">
        <v>5</v>
      </c>
      <c r="U24" s="28">
        <v>0</v>
      </c>
      <c r="V24" s="29">
        <v>3</v>
      </c>
      <c r="W24" s="26">
        <v>0</v>
      </c>
      <c r="X24" s="27">
        <v>2</v>
      </c>
      <c r="Y24" s="28">
        <v>0</v>
      </c>
      <c r="Z24" s="29">
        <v>5</v>
      </c>
    </row>
    <row r="25" spans="1:26" s="5" customFormat="1" ht="16.5" customHeight="1">
      <c r="A25" s="8"/>
      <c r="B25" s="9" t="s">
        <v>11</v>
      </c>
      <c r="C25" s="19">
        <v>1</v>
      </c>
      <c r="D25" s="25">
        <v>43</v>
      </c>
      <c r="E25" s="43">
        <v>0</v>
      </c>
      <c r="F25" s="27">
        <v>15</v>
      </c>
      <c r="G25" s="28">
        <v>0</v>
      </c>
      <c r="H25" s="25">
        <v>0</v>
      </c>
      <c r="I25" s="26">
        <v>0</v>
      </c>
      <c r="J25" s="27">
        <v>0</v>
      </c>
      <c r="K25" s="28">
        <v>1</v>
      </c>
      <c r="L25" s="25">
        <v>6</v>
      </c>
      <c r="M25" s="26">
        <v>0</v>
      </c>
      <c r="N25" s="27">
        <v>4</v>
      </c>
      <c r="O25" s="28">
        <v>0</v>
      </c>
      <c r="P25" s="25">
        <v>1</v>
      </c>
      <c r="Q25" s="26">
        <v>0</v>
      </c>
      <c r="R25" s="27">
        <v>8</v>
      </c>
      <c r="S25" s="19">
        <v>0</v>
      </c>
      <c r="T25" s="29">
        <v>3</v>
      </c>
      <c r="U25" s="28">
        <v>0</v>
      </c>
      <c r="V25" s="29">
        <v>1</v>
      </c>
      <c r="W25" s="26">
        <v>0</v>
      </c>
      <c r="X25" s="27">
        <v>0</v>
      </c>
      <c r="Y25" s="28">
        <v>0</v>
      </c>
      <c r="Z25" s="29">
        <v>5</v>
      </c>
    </row>
    <row r="26" spans="1:26" s="5" customFormat="1" ht="16.5" customHeight="1">
      <c r="A26" s="8"/>
      <c r="B26" s="9" t="s">
        <v>12</v>
      </c>
      <c r="C26" s="19">
        <v>1</v>
      </c>
      <c r="D26" s="25">
        <v>49</v>
      </c>
      <c r="E26" s="43">
        <v>0</v>
      </c>
      <c r="F26" s="27">
        <v>8</v>
      </c>
      <c r="G26" s="28">
        <v>0</v>
      </c>
      <c r="H26" s="25">
        <v>0</v>
      </c>
      <c r="I26" s="26">
        <v>0</v>
      </c>
      <c r="J26" s="27">
        <v>0</v>
      </c>
      <c r="K26" s="28">
        <v>0</v>
      </c>
      <c r="L26" s="25">
        <v>7</v>
      </c>
      <c r="M26" s="26">
        <v>0</v>
      </c>
      <c r="N26" s="27">
        <v>6</v>
      </c>
      <c r="O26" s="28">
        <v>0</v>
      </c>
      <c r="P26" s="25">
        <v>2</v>
      </c>
      <c r="Q26" s="26">
        <v>1</v>
      </c>
      <c r="R26" s="27">
        <v>7</v>
      </c>
      <c r="S26" s="19">
        <v>0</v>
      </c>
      <c r="T26" s="29">
        <v>2</v>
      </c>
      <c r="U26" s="28">
        <v>0</v>
      </c>
      <c r="V26" s="29">
        <v>2</v>
      </c>
      <c r="W26" s="26">
        <v>0</v>
      </c>
      <c r="X26" s="27">
        <v>5</v>
      </c>
      <c r="Y26" s="28">
        <v>0</v>
      </c>
      <c r="Z26" s="29">
        <v>10</v>
      </c>
    </row>
    <row r="27" spans="1:26" s="5" customFormat="1" ht="16.5" customHeight="1" thickBot="1">
      <c r="A27" s="10"/>
      <c r="B27" s="11" t="s">
        <v>13</v>
      </c>
      <c r="C27" s="21">
        <v>1</v>
      </c>
      <c r="D27" s="35">
        <v>41</v>
      </c>
      <c r="E27" s="46">
        <v>0</v>
      </c>
      <c r="F27" s="37">
        <v>5</v>
      </c>
      <c r="G27" s="38">
        <v>0</v>
      </c>
      <c r="H27" s="35">
        <v>0</v>
      </c>
      <c r="I27" s="36">
        <v>0</v>
      </c>
      <c r="J27" s="37">
        <v>0</v>
      </c>
      <c r="K27" s="38">
        <v>0</v>
      </c>
      <c r="L27" s="35">
        <v>6</v>
      </c>
      <c r="M27" s="36">
        <v>0</v>
      </c>
      <c r="N27" s="37">
        <v>4</v>
      </c>
      <c r="O27" s="38">
        <v>0</v>
      </c>
      <c r="P27" s="35">
        <v>2</v>
      </c>
      <c r="Q27" s="36">
        <v>0</v>
      </c>
      <c r="R27" s="37">
        <v>3</v>
      </c>
      <c r="S27" s="21">
        <v>0</v>
      </c>
      <c r="T27" s="39">
        <v>4</v>
      </c>
      <c r="U27" s="38">
        <v>0</v>
      </c>
      <c r="V27" s="39">
        <v>1</v>
      </c>
      <c r="W27" s="36">
        <v>1</v>
      </c>
      <c r="X27" s="37">
        <v>3</v>
      </c>
      <c r="Y27" s="38">
        <v>0</v>
      </c>
      <c r="Z27" s="39">
        <v>13</v>
      </c>
    </row>
    <row r="28" spans="1:26" s="5" customFormat="1" ht="16.5" customHeight="1" thickTop="1">
      <c r="A28" s="15" t="s">
        <v>60</v>
      </c>
      <c r="B28" s="16" t="s">
        <v>2</v>
      </c>
      <c r="C28" s="20">
        <v>1</v>
      </c>
      <c r="D28" s="30">
        <v>57</v>
      </c>
      <c r="E28" s="45">
        <v>0</v>
      </c>
      <c r="F28" s="32">
        <v>14</v>
      </c>
      <c r="G28" s="33">
        <v>0</v>
      </c>
      <c r="H28" s="30">
        <v>0</v>
      </c>
      <c r="I28" s="31">
        <v>0</v>
      </c>
      <c r="J28" s="32">
        <v>0</v>
      </c>
      <c r="K28" s="33">
        <v>0</v>
      </c>
      <c r="L28" s="30">
        <v>8</v>
      </c>
      <c r="M28" s="31">
        <v>0</v>
      </c>
      <c r="N28" s="32">
        <v>8</v>
      </c>
      <c r="O28" s="33">
        <v>1</v>
      </c>
      <c r="P28" s="30">
        <v>2</v>
      </c>
      <c r="Q28" s="31">
        <v>0</v>
      </c>
      <c r="R28" s="32">
        <v>4</v>
      </c>
      <c r="S28" s="20">
        <v>0</v>
      </c>
      <c r="T28" s="34">
        <v>6</v>
      </c>
      <c r="U28" s="33">
        <v>0</v>
      </c>
      <c r="V28" s="34">
        <v>4</v>
      </c>
      <c r="W28" s="31">
        <v>0</v>
      </c>
      <c r="X28" s="32">
        <v>3</v>
      </c>
      <c r="Y28" s="33">
        <v>0</v>
      </c>
      <c r="Z28" s="34">
        <v>8</v>
      </c>
    </row>
    <row r="29" spans="1:26" s="5" customFormat="1" ht="16.5" customHeight="1">
      <c r="A29" s="8"/>
      <c r="B29" s="9" t="s">
        <v>3</v>
      </c>
      <c r="C29" s="19">
        <v>1</v>
      </c>
      <c r="D29" s="25">
        <v>52</v>
      </c>
      <c r="E29" s="43">
        <v>0</v>
      </c>
      <c r="F29" s="27">
        <v>11</v>
      </c>
      <c r="G29" s="28">
        <v>0</v>
      </c>
      <c r="H29" s="25">
        <v>0</v>
      </c>
      <c r="I29" s="26">
        <v>0</v>
      </c>
      <c r="J29" s="27">
        <v>0</v>
      </c>
      <c r="K29" s="28">
        <v>0</v>
      </c>
      <c r="L29" s="25">
        <v>8</v>
      </c>
      <c r="M29" s="26">
        <v>0</v>
      </c>
      <c r="N29" s="27">
        <v>7</v>
      </c>
      <c r="O29" s="28">
        <v>0</v>
      </c>
      <c r="P29" s="25">
        <v>0</v>
      </c>
      <c r="Q29" s="26">
        <v>0</v>
      </c>
      <c r="R29" s="27">
        <v>3</v>
      </c>
      <c r="S29" s="19">
        <v>0</v>
      </c>
      <c r="T29" s="29">
        <v>4</v>
      </c>
      <c r="U29" s="28">
        <v>1</v>
      </c>
      <c r="V29" s="29">
        <v>1</v>
      </c>
      <c r="W29" s="26">
        <v>0</v>
      </c>
      <c r="X29" s="27">
        <v>5</v>
      </c>
      <c r="Y29" s="28">
        <v>0</v>
      </c>
      <c r="Z29" s="29">
        <v>13</v>
      </c>
    </row>
    <row r="30" spans="1:26" s="5" customFormat="1" ht="16.5" customHeight="1">
      <c r="A30" s="8"/>
      <c r="B30" s="9" t="s">
        <v>4</v>
      </c>
      <c r="C30" s="19">
        <v>1</v>
      </c>
      <c r="D30" s="25">
        <v>54</v>
      </c>
      <c r="E30" s="43">
        <v>0</v>
      </c>
      <c r="F30" s="27">
        <v>8</v>
      </c>
      <c r="G30" s="28">
        <v>0</v>
      </c>
      <c r="H30" s="25">
        <v>0</v>
      </c>
      <c r="I30" s="26">
        <v>0</v>
      </c>
      <c r="J30" s="27">
        <v>1</v>
      </c>
      <c r="K30" s="28">
        <v>0</v>
      </c>
      <c r="L30" s="25">
        <v>17</v>
      </c>
      <c r="M30" s="26">
        <v>1</v>
      </c>
      <c r="N30" s="27">
        <v>7</v>
      </c>
      <c r="O30" s="28">
        <v>0</v>
      </c>
      <c r="P30" s="25">
        <v>0</v>
      </c>
      <c r="Q30" s="26">
        <v>0</v>
      </c>
      <c r="R30" s="27">
        <v>3</v>
      </c>
      <c r="S30" s="19">
        <v>0</v>
      </c>
      <c r="T30" s="29">
        <v>7</v>
      </c>
      <c r="U30" s="28">
        <v>0</v>
      </c>
      <c r="V30" s="29">
        <v>1</v>
      </c>
      <c r="W30" s="26">
        <v>0</v>
      </c>
      <c r="X30" s="27">
        <v>2</v>
      </c>
      <c r="Y30" s="28">
        <v>0</v>
      </c>
      <c r="Z30" s="29">
        <v>8</v>
      </c>
    </row>
    <row r="31" spans="1:26" s="5" customFormat="1" ht="16.5" customHeight="1">
      <c r="A31" s="8"/>
      <c r="B31" s="9" t="s">
        <v>5</v>
      </c>
      <c r="C31" s="19">
        <v>0</v>
      </c>
      <c r="D31" s="25">
        <v>42</v>
      </c>
      <c r="E31" s="43">
        <v>0</v>
      </c>
      <c r="F31" s="27">
        <v>9</v>
      </c>
      <c r="G31" s="28">
        <v>0</v>
      </c>
      <c r="H31" s="25">
        <v>0</v>
      </c>
      <c r="I31" s="26">
        <v>0</v>
      </c>
      <c r="J31" s="27">
        <v>0</v>
      </c>
      <c r="K31" s="28">
        <v>0</v>
      </c>
      <c r="L31" s="25">
        <v>3</v>
      </c>
      <c r="M31" s="26">
        <v>0</v>
      </c>
      <c r="N31" s="27">
        <v>5</v>
      </c>
      <c r="O31" s="28">
        <v>0</v>
      </c>
      <c r="P31" s="25">
        <v>0</v>
      </c>
      <c r="Q31" s="26">
        <v>0</v>
      </c>
      <c r="R31" s="27">
        <v>8</v>
      </c>
      <c r="S31" s="19">
        <v>0</v>
      </c>
      <c r="T31" s="29">
        <v>5</v>
      </c>
      <c r="U31" s="28">
        <v>0</v>
      </c>
      <c r="V31" s="29">
        <v>2</v>
      </c>
      <c r="W31" s="26">
        <v>0</v>
      </c>
      <c r="X31" s="27">
        <v>2</v>
      </c>
      <c r="Y31" s="28">
        <v>0</v>
      </c>
      <c r="Z31" s="29">
        <v>8</v>
      </c>
    </row>
    <row r="32" spans="1:26" s="5" customFormat="1" ht="16.5" customHeight="1">
      <c r="A32" s="8"/>
      <c r="B32" s="9" t="s">
        <v>6</v>
      </c>
      <c r="C32" s="19">
        <v>0</v>
      </c>
      <c r="D32" s="25">
        <v>35</v>
      </c>
      <c r="E32" s="43">
        <v>0</v>
      </c>
      <c r="F32" s="27">
        <v>10</v>
      </c>
      <c r="G32" s="28">
        <v>0</v>
      </c>
      <c r="H32" s="25">
        <v>0</v>
      </c>
      <c r="I32" s="26">
        <v>0</v>
      </c>
      <c r="J32" s="27">
        <v>0</v>
      </c>
      <c r="K32" s="28">
        <v>0</v>
      </c>
      <c r="L32" s="25">
        <v>5</v>
      </c>
      <c r="M32" s="26">
        <v>0</v>
      </c>
      <c r="N32" s="27">
        <v>2</v>
      </c>
      <c r="O32" s="28">
        <v>0</v>
      </c>
      <c r="P32" s="25">
        <v>1</v>
      </c>
      <c r="Q32" s="26">
        <v>0</v>
      </c>
      <c r="R32" s="27">
        <v>3</v>
      </c>
      <c r="S32" s="19">
        <v>0</v>
      </c>
      <c r="T32" s="29">
        <v>1</v>
      </c>
      <c r="U32" s="28">
        <v>0</v>
      </c>
      <c r="V32" s="29">
        <v>4</v>
      </c>
      <c r="W32" s="26">
        <v>0</v>
      </c>
      <c r="X32" s="27">
        <v>1</v>
      </c>
      <c r="Y32" s="28">
        <v>0</v>
      </c>
      <c r="Z32" s="29">
        <v>8</v>
      </c>
    </row>
    <row r="33" spans="1:26" s="61" customFormat="1" ht="16.5" customHeight="1">
      <c r="A33" s="52"/>
      <c r="B33" s="53" t="s">
        <v>7</v>
      </c>
      <c r="C33" s="54">
        <v>0</v>
      </c>
      <c r="D33" s="55">
        <v>35</v>
      </c>
      <c r="E33" s="56">
        <v>0</v>
      </c>
      <c r="F33" s="57">
        <v>8</v>
      </c>
      <c r="G33" s="58">
        <v>0</v>
      </c>
      <c r="H33" s="55">
        <v>0</v>
      </c>
      <c r="I33" s="59">
        <v>0</v>
      </c>
      <c r="J33" s="57">
        <v>0</v>
      </c>
      <c r="K33" s="58">
        <v>0</v>
      </c>
      <c r="L33" s="55">
        <v>3</v>
      </c>
      <c r="M33" s="59">
        <v>0</v>
      </c>
      <c r="N33" s="57">
        <v>4</v>
      </c>
      <c r="O33" s="58">
        <v>0</v>
      </c>
      <c r="P33" s="55">
        <v>1</v>
      </c>
      <c r="Q33" s="59">
        <v>0</v>
      </c>
      <c r="R33" s="57">
        <v>7</v>
      </c>
      <c r="S33" s="54">
        <v>0</v>
      </c>
      <c r="T33" s="60">
        <v>2</v>
      </c>
      <c r="U33" s="58">
        <v>0</v>
      </c>
      <c r="V33" s="60">
        <v>0</v>
      </c>
      <c r="W33" s="59">
        <v>0</v>
      </c>
      <c r="X33" s="57">
        <v>0</v>
      </c>
      <c r="Y33" s="58">
        <v>0</v>
      </c>
      <c r="Z33" s="60">
        <v>10</v>
      </c>
    </row>
    <row r="34" spans="1:26" s="61" customFormat="1" ht="16.5" customHeight="1">
      <c r="A34" s="52"/>
      <c r="B34" s="53" t="s">
        <v>8</v>
      </c>
      <c r="C34" s="54">
        <v>0</v>
      </c>
      <c r="D34" s="55">
        <v>55</v>
      </c>
      <c r="E34" s="56">
        <v>0</v>
      </c>
      <c r="F34" s="57">
        <v>13</v>
      </c>
      <c r="G34" s="58">
        <v>0</v>
      </c>
      <c r="H34" s="55">
        <v>0</v>
      </c>
      <c r="I34" s="59">
        <v>0</v>
      </c>
      <c r="J34" s="57">
        <v>0</v>
      </c>
      <c r="K34" s="58">
        <v>0</v>
      </c>
      <c r="L34" s="55">
        <v>18</v>
      </c>
      <c r="M34" s="59">
        <v>0</v>
      </c>
      <c r="N34" s="57">
        <v>7</v>
      </c>
      <c r="O34" s="58">
        <v>0</v>
      </c>
      <c r="P34" s="55">
        <v>0</v>
      </c>
      <c r="Q34" s="59">
        <v>0</v>
      </c>
      <c r="R34" s="57">
        <v>7</v>
      </c>
      <c r="S34" s="54">
        <v>0</v>
      </c>
      <c r="T34" s="60">
        <v>3</v>
      </c>
      <c r="U34" s="58">
        <v>0</v>
      </c>
      <c r="V34" s="60">
        <v>0</v>
      </c>
      <c r="W34" s="59">
        <v>0</v>
      </c>
      <c r="X34" s="57">
        <v>3</v>
      </c>
      <c r="Y34" s="58">
        <v>0</v>
      </c>
      <c r="Z34" s="60">
        <v>4</v>
      </c>
    </row>
    <row r="35" spans="1:26" s="5" customFormat="1" ht="16.5" customHeight="1">
      <c r="A35" s="8"/>
      <c r="B35" s="9" t="s">
        <v>9</v>
      </c>
      <c r="C35" s="19">
        <v>0</v>
      </c>
      <c r="D35" s="25">
        <v>27</v>
      </c>
      <c r="E35" s="43">
        <v>0</v>
      </c>
      <c r="F35" s="27">
        <v>10</v>
      </c>
      <c r="G35" s="28">
        <v>0</v>
      </c>
      <c r="H35" s="25">
        <v>0</v>
      </c>
      <c r="I35" s="26">
        <v>0</v>
      </c>
      <c r="J35" s="27">
        <v>2</v>
      </c>
      <c r="K35" s="28">
        <v>0</v>
      </c>
      <c r="L35" s="25">
        <v>5</v>
      </c>
      <c r="M35" s="26">
        <v>0</v>
      </c>
      <c r="N35" s="27">
        <v>1</v>
      </c>
      <c r="O35" s="28">
        <v>0</v>
      </c>
      <c r="P35" s="25">
        <v>0</v>
      </c>
      <c r="Q35" s="26">
        <v>0</v>
      </c>
      <c r="R35" s="27">
        <v>4</v>
      </c>
      <c r="S35" s="19">
        <v>0</v>
      </c>
      <c r="T35" s="29">
        <v>1</v>
      </c>
      <c r="U35" s="28">
        <v>0</v>
      </c>
      <c r="V35" s="29">
        <v>1</v>
      </c>
      <c r="W35" s="26">
        <v>0</v>
      </c>
      <c r="X35" s="27">
        <v>1</v>
      </c>
      <c r="Y35" s="28">
        <v>0</v>
      </c>
      <c r="Z35" s="29">
        <v>2</v>
      </c>
    </row>
    <row r="36" spans="1:26" s="5" customFormat="1" ht="16.5" customHeight="1">
      <c r="A36" s="8"/>
      <c r="B36" s="9" t="s">
        <v>10</v>
      </c>
      <c r="C36" s="19">
        <v>1</v>
      </c>
      <c r="D36" s="25">
        <v>37</v>
      </c>
      <c r="E36" s="43">
        <v>0</v>
      </c>
      <c r="F36" s="27">
        <v>11</v>
      </c>
      <c r="G36" s="28">
        <v>0</v>
      </c>
      <c r="H36" s="25">
        <v>0</v>
      </c>
      <c r="I36" s="26">
        <v>0</v>
      </c>
      <c r="J36" s="27">
        <v>0</v>
      </c>
      <c r="K36" s="28">
        <v>1</v>
      </c>
      <c r="L36" s="25">
        <v>4</v>
      </c>
      <c r="M36" s="26">
        <v>0</v>
      </c>
      <c r="N36" s="27">
        <v>3</v>
      </c>
      <c r="O36" s="28">
        <v>0</v>
      </c>
      <c r="P36" s="25">
        <v>1</v>
      </c>
      <c r="Q36" s="26">
        <v>0</v>
      </c>
      <c r="R36" s="27">
        <v>5</v>
      </c>
      <c r="S36" s="19">
        <v>0</v>
      </c>
      <c r="T36" s="29">
        <v>4</v>
      </c>
      <c r="U36" s="28">
        <v>0</v>
      </c>
      <c r="V36" s="29">
        <v>2</v>
      </c>
      <c r="W36" s="26">
        <v>0</v>
      </c>
      <c r="X36" s="27">
        <v>2</v>
      </c>
      <c r="Y36" s="28">
        <v>0</v>
      </c>
      <c r="Z36" s="29">
        <v>5</v>
      </c>
    </row>
    <row r="37" spans="1:26" s="5" customFormat="1" ht="16.5" customHeight="1">
      <c r="A37" s="8"/>
      <c r="B37" s="9" t="s">
        <v>11</v>
      </c>
      <c r="C37" s="19">
        <v>0</v>
      </c>
      <c r="D37" s="25">
        <v>54</v>
      </c>
      <c r="E37" s="43">
        <v>0</v>
      </c>
      <c r="F37" s="27">
        <v>15</v>
      </c>
      <c r="G37" s="28">
        <v>0</v>
      </c>
      <c r="H37" s="25">
        <v>0</v>
      </c>
      <c r="I37" s="26">
        <v>0</v>
      </c>
      <c r="J37" s="27">
        <v>0</v>
      </c>
      <c r="K37" s="28">
        <v>0</v>
      </c>
      <c r="L37" s="25">
        <v>13</v>
      </c>
      <c r="M37" s="26">
        <v>0</v>
      </c>
      <c r="N37" s="27">
        <v>9</v>
      </c>
      <c r="O37" s="28">
        <v>0</v>
      </c>
      <c r="P37" s="25">
        <v>0</v>
      </c>
      <c r="Q37" s="26">
        <v>0</v>
      </c>
      <c r="R37" s="27">
        <v>3</v>
      </c>
      <c r="S37" s="19">
        <v>0</v>
      </c>
      <c r="T37" s="29">
        <v>7</v>
      </c>
      <c r="U37" s="28">
        <v>0</v>
      </c>
      <c r="V37" s="29">
        <v>1</v>
      </c>
      <c r="W37" s="26">
        <v>0</v>
      </c>
      <c r="X37" s="27">
        <v>1</v>
      </c>
      <c r="Y37" s="28">
        <v>0</v>
      </c>
      <c r="Z37" s="29">
        <v>5</v>
      </c>
    </row>
    <row r="38" spans="1:26" s="5" customFormat="1" ht="16.5" customHeight="1">
      <c r="A38" s="8"/>
      <c r="B38" s="9" t="s">
        <v>12</v>
      </c>
      <c r="C38" s="19">
        <v>2</v>
      </c>
      <c r="D38" s="25">
        <v>37</v>
      </c>
      <c r="E38" s="43">
        <v>0</v>
      </c>
      <c r="F38" s="27">
        <v>7</v>
      </c>
      <c r="G38" s="28">
        <v>0</v>
      </c>
      <c r="H38" s="25">
        <v>0</v>
      </c>
      <c r="I38" s="26">
        <v>0</v>
      </c>
      <c r="J38" s="27">
        <v>0</v>
      </c>
      <c r="K38" s="28">
        <v>1</v>
      </c>
      <c r="L38" s="25">
        <v>2</v>
      </c>
      <c r="M38" s="26">
        <v>0</v>
      </c>
      <c r="N38" s="27">
        <v>1</v>
      </c>
      <c r="O38" s="28">
        <v>1</v>
      </c>
      <c r="P38" s="25">
        <v>1</v>
      </c>
      <c r="Q38" s="26">
        <v>0</v>
      </c>
      <c r="R38" s="27">
        <v>13</v>
      </c>
      <c r="S38" s="19">
        <v>0</v>
      </c>
      <c r="T38" s="29">
        <v>2</v>
      </c>
      <c r="U38" s="28">
        <v>0</v>
      </c>
      <c r="V38" s="29">
        <v>2</v>
      </c>
      <c r="W38" s="26">
        <v>0</v>
      </c>
      <c r="X38" s="27">
        <v>2</v>
      </c>
      <c r="Y38" s="28">
        <v>0</v>
      </c>
      <c r="Z38" s="29">
        <v>7</v>
      </c>
    </row>
    <row r="39" spans="1:26" s="5" customFormat="1" ht="16.5" customHeight="1">
      <c r="A39" s="10"/>
      <c r="B39" s="11" t="s">
        <v>13</v>
      </c>
      <c r="C39" s="21">
        <v>1</v>
      </c>
      <c r="D39" s="35">
        <v>53</v>
      </c>
      <c r="E39" s="46">
        <v>0</v>
      </c>
      <c r="F39" s="37">
        <v>8</v>
      </c>
      <c r="G39" s="38">
        <v>0</v>
      </c>
      <c r="H39" s="35">
        <v>0</v>
      </c>
      <c r="I39" s="36">
        <v>0</v>
      </c>
      <c r="J39" s="37">
        <v>0</v>
      </c>
      <c r="K39" s="38">
        <v>0</v>
      </c>
      <c r="L39" s="35">
        <v>7</v>
      </c>
      <c r="M39" s="36">
        <v>0</v>
      </c>
      <c r="N39" s="37">
        <v>10</v>
      </c>
      <c r="O39" s="38">
        <v>0</v>
      </c>
      <c r="P39" s="35">
        <v>1</v>
      </c>
      <c r="Q39" s="36">
        <v>0</v>
      </c>
      <c r="R39" s="37">
        <v>4</v>
      </c>
      <c r="S39" s="21">
        <v>0</v>
      </c>
      <c r="T39" s="39">
        <v>5</v>
      </c>
      <c r="U39" s="38">
        <v>0</v>
      </c>
      <c r="V39" s="39">
        <v>3</v>
      </c>
      <c r="W39" s="36">
        <v>0</v>
      </c>
      <c r="X39" s="37">
        <v>3</v>
      </c>
      <c r="Y39" s="38">
        <v>1</v>
      </c>
      <c r="Z39" s="39">
        <v>12</v>
      </c>
    </row>
    <row r="40" spans="1:26" s="5" customFormat="1" ht="16.5" customHeight="1" thickBot="1">
      <c r="A40" s="64" t="s">
        <v>37</v>
      </c>
      <c r="B40" s="6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s="5" customFormat="1" ht="16.5" customHeight="1">
      <c r="A41" s="95" t="str">
        <f>"2015（平成27）年"&amp;COUNTA(E28:E39)&amp;"月迄"</f>
        <v>2015（平成27）年12月迄</v>
      </c>
      <c r="B41" s="96"/>
      <c r="C41" s="76">
        <f>SUM(C28:C39)</f>
        <v>7</v>
      </c>
      <c r="D41" s="77">
        <f aca="true" t="shared" si="0" ref="D41:Z41">SUM(D28:D39)</f>
        <v>538</v>
      </c>
      <c r="E41" s="77">
        <f>SUM(E28:E39)</f>
        <v>0</v>
      </c>
      <c r="F41" s="77">
        <f t="shared" si="0"/>
        <v>124</v>
      </c>
      <c r="G41" s="77">
        <f>SUM(G28:G39)</f>
        <v>0</v>
      </c>
      <c r="H41" s="77">
        <f t="shared" si="0"/>
        <v>0</v>
      </c>
      <c r="I41" s="77">
        <f t="shared" si="0"/>
        <v>0</v>
      </c>
      <c r="J41" s="78">
        <f t="shared" si="0"/>
        <v>3</v>
      </c>
      <c r="K41" s="77">
        <f t="shared" si="0"/>
        <v>2</v>
      </c>
      <c r="L41" s="77">
        <f t="shared" si="0"/>
        <v>93</v>
      </c>
      <c r="M41" s="77">
        <f t="shared" si="0"/>
        <v>1</v>
      </c>
      <c r="N41" s="77">
        <f t="shared" si="0"/>
        <v>64</v>
      </c>
      <c r="O41" s="77">
        <f t="shared" si="0"/>
        <v>2</v>
      </c>
      <c r="P41" s="77">
        <f t="shared" si="0"/>
        <v>7</v>
      </c>
      <c r="Q41" s="77">
        <f t="shared" si="0"/>
        <v>0</v>
      </c>
      <c r="R41" s="77">
        <f t="shared" si="0"/>
        <v>64</v>
      </c>
      <c r="S41" s="76">
        <f t="shared" si="0"/>
        <v>0</v>
      </c>
      <c r="T41" s="77">
        <f t="shared" si="0"/>
        <v>47</v>
      </c>
      <c r="U41" s="77">
        <f t="shared" si="0"/>
        <v>1</v>
      </c>
      <c r="V41" s="77">
        <f t="shared" si="0"/>
        <v>21</v>
      </c>
      <c r="W41" s="77">
        <f t="shared" si="0"/>
        <v>0</v>
      </c>
      <c r="X41" s="77">
        <f t="shared" si="0"/>
        <v>25</v>
      </c>
      <c r="Y41" s="77">
        <f t="shared" si="0"/>
        <v>1</v>
      </c>
      <c r="Z41" s="79">
        <f t="shared" si="0"/>
        <v>90</v>
      </c>
    </row>
    <row r="42" spans="1:26" s="5" customFormat="1" ht="16.5" customHeight="1">
      <c r="A42" s="97" t="str">
        <f>"前年"&amp;COUNTA(E28:E39)&amp;"月迄"</f>
        <v>前年12月迄</v>
      </c>
      <c r="B42" s="98"/>
      <c r="C42" s="80">
        <f ca="1">SUM(C16:(INDIRECT("c"&amp;COUNT($E28:$E39)+15)))</f>
        <v>7</v>
      </c>
      <c r="D42" s="80">
        <f ca="1">SUM(D16:(INDIRECT("d"&amp;COUNT($E28:$E39)+15)))</f>
        <v>549</v>
      </c>
      <c r="E42" s="80">
        <f ca="1">SUM(E16:(INDIRECT("e"&amp;COUNT($E28:$E39)+15)))</f>
        <v>1</v>
      </c>
      <c r="F42" s="80">
        <f ca="1">SUM(F16:(INDIRECT("f"&amp;COUNT($E28:$E39)+15)))</f>
        <v>135</v>
      </c>
      <c r="G42" s="80">
        <f ca="1">SUM(G16:(INDIRECT("ｇ"&amp;COUNT($E28:$E39)+15)))</f>
        <v>0</v>
      </c>
      <c r="H42" s="80">
        <f ca="1">SUM(H16:(INDIRECT("ｈ"&amp;COUNT($E28:$E39)+15)))</f>
        <v>1</v>
      </c>
      <c r="I42" s="80">
        <f ca="1">SUM(I16:(INDIRECT("i"&amp;COUNT($E28:$E39)+15)))</f>
        <v>0</v>
      </c>
      <c r="J42" s="80">
        <f ca="1">SUM(J16:(INDIRECT("j"&amp;COUNT($E28:$E39)+15)))</f>
        <v>1</v>
      </c>
      <c r="K42" s="80">
        <f ca="1">SUM(K16:(INDIRECT("k"&amp;COUNT($E28:$E39)+15)))</f>
        <v>2</v>
      </c>
      <c r="L42" s="80">
        <f ca="1">SUM(L16:(INDIRECT("l"&amp;COUNT($E28:$E39)+15)))</f>
        <v>82</v>
      </c>
      <c r="M42" s="80">
        <f ca="1">SUM(M16:(INDIRECT("m"&amp;COUNT($E28:$E39)+15)))</f>
        <v>0</v>
      </c>
      <c r="N42" s="80">
        <f ca="1">SUM(N16:(INDIRECT("n"&amp;COUNT($E28:$E39)+15)))</f>
        <v>65</v>
      </c>
      <c r="O42" s="80">
        <f ca="1">SUM(O16:(INDIRECT("o"&amp;COUNT($E28:$E39)+15)))</f>
        <v>0</v>
      </c>
      <c r="P42" s="80">
        <f ca="1">SUM(P16:(INDIRECT("p"&amp;COUNT($E28:$E39)+15)))</f>
        <v>13</v>
      </c>
      <c r="Q42" s="80">
        <f ca="1">SUM(Q16:(INDIRECT("q"&amp;COUNT($E28:$E39)+15)))</f>
        <v>1</v>
      </c>
      <c r="R42" s="80">
        <f ca="1">SUM(R16:(INDIRECT("r"&amp;COUNT($E28:$E39)+15)))</f>
        <v>53</v>
      </c>
      <c r="S42" s="80">
        <f ca="1">SUM(S16:(INDIRECT("s"&amp;COUNT($E28:$E39)+15)))</f>
        <v>1</v>
      </c>
      <c r="T42" s="80">
        <f ca="1">SUM(T16:(INDIRECT("t"&amp;COUNT($E28:$E39)+15)))</f>
        <v>50</v>
      </c>
      <c r="U42" s="80">
        <f ca="1">SUM(U16:(INDIRECT("u"&amp;COUNT($E28:$E39)+15)))</f>
        <v>0</v>
      </c>
      <c r="V42" s="80">
        <f ca="1">SUM(V16:(INDIRECT("v"&amp;COUNT($E28:$E39)+15)))</f>
        <v>25</v>
      </c>
      <c r="W42" s="80">
        <f ca="1">SUM(W16:(INDIRECT("w"&amp;COUNT($E28:$E39)+15)))</f>
        <v>1</v>
      </c>
      <c r="X42" s="80">
        <f ca="1">SUM(X16:(INDIRECT("x"&amp;COUNT($E28:$E39)+15)))</f>
        <v>26</v>
      </c>
      <c r="Y42" s="80">
        <f ca="1">SUM(Y16:(INDIRECT("y"&amp;COUNT($E28:$E39)+15)))</f>
        <v>1</v>
      </c>
      <c r="Z42" s="81">
        <f ca="1">SUM(Z16:(INDIRECT("z"&amp;COUNT($E28:$E39)+15)))</f>
        <v>98</v>
      </c>
    </row>
    <row r="43" spans="1:26" s="5" customFormat="1" ht="16.5" customHeight="1" thickBot="1">
      <c r="A43" s="99" t="s">
        <v>36</v>
      </c>
      <c r="B43" s="100"/>
      <c r="C43" s="82">
        <f>C41-C42</f>
        <v>0</v>
      </c>
      <c r="D43" s="62">
        <f aca="true" t="shared" si="1" ref="D43:Z43">D41-D42</f>
        <v>-11</v>
      </c>
      <c r="E43" s="62">
        <f t="shared" si="1"/>
        <v>-1</v>
      </c>
      <c r="F43" s="62">
        <f t="shared" si="1"/>
        <v>-11</v>
      </c>
      <c r="G43" s="62">
        <f t="shared" si="1"/>
        <v>0</v>
      </c>
      <c r="H43" s="62">
        <f t="shared" si="1"/>
        <v>-1</v>
      </c>
      <c r="I43" s="62">
        <f t="shared" si="1"/>
        <v>0</v>
      </c>
      <c r="J43" s="66">
        <f t="shared" si="1"/>
        <v>2</v>
      </c>
      <c r="K43" s="62">
        <f t="shared" si="1"/>
        <v>0</v>
      </c>
      <c r="L43" s="62">
        <f t="shared" si="1"/>
        <v>11</v>
      </c>
      <c r="M43" s="62">
        <f t="shared" si="1"/>
        <v>1</v>
      </c>
      <c r="N43" s="62">
        <f t="shared" si="1"/>
        <v>-1</v>
      </c>
      <c r="O43" s="62">
        <f t="shared" si="1"/>
        <v>2</v>
      </c>
      <c r="P43" s="62">
        <f t="shared" si="1"/>
        <v>-6</v>
      </c>
      <c r="Q43" s="62">
        <f t="shared" si="1"/>
        <v>-1</v>
      </c>
      <c r="R43" s="62">
        <f t="shared" si="1"/>
        <v>11</v>
      </c>
      <c r="S43" s="82">
        <f t="shared" si="1"/>
        <v>-1</v>
      </c>
      <c r="T43" s="62">
        <f t="shared" si="1"/>
        <v>-3</v>
      </c>
      <c r="U43" s="62">
        <f t="shared" si="1"/>
        <v>1</v>
      </c>
      <c r="V43" s="62">
        <f t="shared" si="1"/>
        <v>-4</v>
      </c>
      <c r="W43" s="62">
        <f t="shared" si="1"/>
        <v>-1</v>
      </c>
      <c r="X43" s="62">
        <f t="shared" si="1"/>
        <v>-1</v>
      </c>
      <c r="Y43" s="62">
        <f t="shared" si="1"/>
        <v>0</v>
      </c>
      <c r="Z43" s="63">
        <f t="shared" si="1"/>
        <v>-8</v>
      </c>
    </row>
    <row r="44" s="5" customFormat="1" ht="16.5" customHeight="1">
      <c r="A44" s="5" t="s">
        <v>28</v>
      </c>
    </row>
    <row r="45" s="2" customFormat="1" ht="16.5" customHeight="1">
      <c r="A45" s="5" t="s">
        <v>34</v>
      </c>
    </row>
    <row r="46" s="5" customFormat="1" ht="16.5" customHeight="1">
      <c r="A46" s="5" t="s">
        <v>30</v>
      </c>
    </row>
    <row r="47" s="5" customFormat="1" ht="16.5" customHeight="1">
      <c r="B47" s="5" t="s">
        <v>31</v>
      </c>
    </row>
    <row r="48" s="5" customFormat="1" ht="16.5" customHeight="1">
      <c r="B48" s="5" t="s">
        <v>32</v>
      </c>
    </row>
    <row r="49" s="5" customFormat="1" ht="16.5" customHeight="1">
      <c r="B49" s="5" t="s">
        <v>33</v>
      </c>
    </row>
    <row r="50" s="5" customFormat="1" ht="16.5" customHeight="1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</sheetData>
  <sheetProtection/>
  <mergeCells count="16">
    <mergeCell ref="Y4:Z4"/>
    <mergeCell ref="A41:B41"/>
    <mergeCell ref="A42:B42"/>
    <mergeCell ref="A43:B43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conditionalFormatting sqref="C41:Z43">
    <cfRule type="cellIs" priority="1" dxfId="18" operator="lessThan" stopIfTrue="1">
      <formula>0</formula>
    </cfRule>
    <cfRule type="cellIs" priority="2" dxfId="19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  <ignoredErrors>
    <ignoredError sqref="C41:Z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企画課統計担当</dc:creator>
  <cp:keywords/>
  <dc:description/>
  <cp:lastModifiedBy>播磨 久美子</cp:lastModifiedBy>
  <cp:lastPrinted>2022-10-14T02:39:43Z</cp:lastPrinted>
  <dcterms:created xsi:type="dcterms:W3CDTF">2002-01-09T00:27:56Z</dcterms:created>
  <dcterms:modified xsi:type="dcterms:W3CDTF">2024-01-09T07:48:38Z</dcterms:modified>
  <cp:category/>
  <cp:version/>
  <cp:contentType/>
  <cp:contentStatus/>
</cp:coreProperties>
</file>