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14940" windowHeight="9600" activeTab="0"/>
  </bookViews>
  <sheets>
    <sheet name="2023（令和5）年" sheetId="1" r:id="rId1"/>
    <sheet name="2022（令和4）年" sheetId="2" r:id="rId2"/>
    <sheet name="2021（令和3）年" sheetId="3" r:id="rId3"/>
    <sheet name="2020（令和2）年 " sheetId="4" r:id="rId4"/>
    <sheet name="2019（平成31・令和元）年" sheetId="5" r:id="rId5"/>
    <sheet name="2018（平成30）年" sheetId="6" r:id="rId6"/>
    <sheet name="2017（平成29）年" sheetId="7" r:id="rId7"/>
    <sheet name="2016（平成28）年" sheetId="8" r:id="rId8"/>
    <sheet name="2015（平成27）年" sheetId="9" r:id="rId9"/>
    <sheet name="2014（平成26）年" sheetId="10" r:id="rId10"/>
    <sheet name="2013（平成25）年" sheetId="11" r:id="rId11"/>
    <sheet name="2012（平成24）年" sheetId="12" r:id="rId12"/>
    <sheet name="2011（平成23）年" sheetId="13" r:id="rId13"/>
    <sheet name="2010（平成22）年" sheetId="14" r:id="rId14"/>
    <sheet name="2009（平成21）年" sheetId="15" r:id="rId15"/>
    <sheet name="2008（平成20）年" sheetId="16" r:id="rId16"/>
    <sheet name="2007（平成19）年" sheetId="17" r:id="rId17"/>
    <sheet name="2006（平成18）年" sheetId="18" r:id="rId18"/>
  </sheets>
  <definedNames/>
  <calcPr fullCalcOnLoad="1"/>
</workbook>
</file>

<file path=xl/sharedStrings.xml><?xml version="1.0" encoding="utf-8"?>
<sst xmlns="http://schemas.openxmlformats.org/spreadsheetml/2006/main" count="1539" uniqueCount="102">
  <si>
    <t>合計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</si>
  <si>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</si>
  <si>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</si>
  <si>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</si>
  <si>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</si>
  <si>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</si>
  <si>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</si>
  <si>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</si>
  <si>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</si>
  <si>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</si>
  <si>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</si>
  <si>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</si>
  <si>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</si>
  <si>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</si>
  <si>
    <t>すけとうだら</t>
  </si>
  <si>
    <t>さけ・ます</t>
  </si>
  <si>
    <t>数　量</t>
  </si>
  <si>
    <t>金　額</t>
  </si>
  <si>
    <t>年・月次</t>
  </si>
  <si>
    <t xml:space="preserve"> 資料 … 市水産課</t>
  </si>
  <si>
    <t>（注）… 各月、魚種別を合計しても、端数処理の関係で「合計」と一致しない場合があります。</t>
  </si>
  <si>
    <t>ま　だ　ら</t>
  </si>
  <si>
    <t>さ　ん　ま</t>
  </si>
  <si>
    <t>い　　か</t>
  </si>
  <si>
    <t>か れ い 類</t>
  </si>
  <si>
    <t>赤　　物</t>
  </si>
  <si>
    <t>ほ　っ　け</t>
  </si>
  <si>
    <t>さ　　ば</t>
  </si>
  <si>
    <t>い　わ　し</t>
  </si>
  <si>
    <t>し し ゃ も</t>
  </si>
  <si>
    <t>そ　の　他</t>
  </si>
  <si>
    <t>（単位：ｔ、千円）</t>
  </si>
  <si>
    <t>すけとうだら</t>
  </si>
  <si>
    <t>ま　だ　ら</t>
  </si>
  <si>
    <t>さ　ん　ま</t>
  </si>
  <si>
    <t>い　　か</t>
  </si>
  <si>
    <t>さけ・ます</t>
  </si>
  <si>
    <t>ほ　っ　け</t>
  </si>
  <si>
    <t>さ　　ば</t>
  </si>
  <si>
    <t>い　わ　し</t>
  </si>
  <si>
    <t>し し ゃ も</t>
  </si>
  <si>
    <t>すけとうだら</t>
  </si>
  <si>
    <t>ま　だ　ら</t>
  </si>
  <si>
    <t>さ　ん　ま</t>
  </si>
  <si>
    <t>い　　か</t>
  </si>
  <si>
    <t>さけ・ます</t>
  </si>
  <si>
    <t>すけとうだら</t>
  </si>
  <si>
    <t>ま　だ　ら</t>
  </si>
  <si>
    <t>さ　ん　ま</t>
  </si>
  <si>
    <t>さけ・ます</t>
  </si>
  <si>
    <t>ほ　っ　け</t>
  </si>
  <si>
    <t>さ　　ば</t>
  </si>
  <si>
    <t>い　わ　し</t>
  </si>
  <si>
    <t>し し ゃ も</t>
  </si>
  <si>
    <t>ほ　っ　け</t>
  </si>
  <si>
    <t>さ　　ば</t>
  </si>
  <si>
    <t>増減</t>
  </si>
  <si>
    <t>【累計値・比較】</t>
  </si>
  <si>
    <t>前年12月迄</t>
  </si>
  <si>
    <t>2017（平成29）年</t>
  </si>
  <si>
    <t>2016（平成28）年</t>
  </si>
  <si>
    <t>2015（平成27）年</t>
  </si>
  <si>
    <t>2014（平成26）年</t>
  </si>
  <si>
    <t>2013（平成25）年</t>
  </si>
  <si>
    <t>2012（平成24）年</t>
  </si>
  <si>
    <t>2011（平成23）年</t>
  </si>
  <si>
    <t>2010（平成22）年</t>
  </si>
  <si>
    <t>2009（平成21）年</t>
  </si>
  <si>
    <t>2008（平成20）年</t>
  </si>
  <si>
    <t>2007（平成19）年</t>
  </si>
  <si>
    <t>2006（平成18）年</t>
  </si>
  <si>
    <t>2005（平成17）年</t>
  </si>
  <si>
    <t>2018（平成30）年</t>
  </si>
  <si>
    <t>漁獲物取扱状況＜2018（平成30）年1月～12月、月中＞</t>
  </si>
  <si>
    <t>漁獲物取扱状況＜2017（平成29）年1月～12月、月中＞</t>
  </si>
  <si>
    <t>漁獲物取扱状況＜2016（平成28）年1月～12月、月中＞</t>
  </si>
  <si>
    <t>漁獲物取扱状況＜2015（平成27）年1月～12月、月中＞</t>
  </si>
  <si>
    <t>漁獲物取扱状況＜2014（平成26）年1月～12月、月中＞</t>
  </si>
  <si>
    <t>2014（平成26）年12月迄</t>
  </si>
  <si>
    <t>漁獲物取扱状況＜2013（平成25）年1月～12月、月中＞</t>
  </si>
  <si>
    <t>漁獲物取扱状況＜2012（平成24）年1月～12月、月中＞</t>
  </si>
  <si>
    <t>漁獲物取扱状況＜2011（平成23）年1月～12月、月中＞</t>
  </si>
  <si>
    <t>漁獲物取扱状況＜2010（平成22）年1月～12月、月中＞</t>
  </si>
  <si>
    <t>漁獲物取扱状況＜2009（平成21）年1月～12月、月中＞</t>
  </si>
  <si>
    <t>漁獲物取扱状況＜2008（平成20）年1月～12月、月中＞</t>
  </si>
  <si>
    <t>漁獲物取扱状況＜2007（平成19）年1月～12月、月中＞</t>
  </si>
  <si>
    <t>漁獲物取扱状況＜2006（平成18）年1月～12月、月中＞</t>
  </si>
  <si>
    <t>2019（平成31）年</t>
  </si>
  <si>
    <t>2019（令和元）年</t>
  </si>
  <si>
    <t>漁獲物取扱状況＜2019（平成31・令和元）年1月～12月、月中＞</t>
  </si>
  <si>
    <t>漁獲物取扱状況＜2020（令和2）年1月～12月、月中＞</t>
  </si>
  <si>
    <t>漁獲物取扱状況＜2021（令和3）年1月～12月、月中＞</t>
  </si>
  <si>
    <t>漁獲物取扱状況＜2022（令和4）年1月～12月、月中＞</t>
  </si>
  <si>
    <t>2019（令和元）年</t>
  </si>
  <si>
    <t>2020（令和 2）年</t>
  </si>
  <si>
    <t>2021（令和 3）年</t>
  </si>
  <si>
    <t>2022（令和 4）年</t>
  </si>
  <si>
    <t>2019（令和元）年</t>
  </si>
  <si>
    <t>（注1）… 各月、魚種別を合計しても、端数処理の関係で「合計」と一致しない場合があります。</t>
  </si>
  <si>
    <t>（注2）…2019（令和元）年の計は、2019（平成31）年1月～4月、2019（令和元）年5月～12月までの合計です。</t>
  </si>
  <si>
    <t>2023（令和 5）年</t>
  </si>
  <si>
    <t>漁獲物取扱状況＜2023（令和5）年1月～12月、月中＞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</si>
</sst>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_ "/>
    <numFmt numFmtId="179" formatCode="#,##0_ ;[Red]\-#,##0\ "/>
    <numFmt numFmtId="180" formatCode="0_);[Red]\(0\)"/>
    <numFmt numFmtId="181" formatCode="&quot;¥&quot;#,##0_);[Red]\(&quot;¥&quot;#,##0\)"/>
    <numFmt numFmtId="182" formatCode="&quot;¥&quot;#,##0.0_);[Red]\(&quot;¥&quot;#,##0.0\)"/>
    <numFmt numFmtId="183" formatCode="&quot;¥&quot;#,##0.00_);[Red]\(&quot;¥&quot;#,##0.00\)"/>
    <numFmt numFmtId="184" formatCode="#,##0_);[Red]\(#,##0\)"/>
    <numFmt numFmtId="185" formatCode="[$¥-411]#,##0.00;[Red]\-[$¥-411]#,##0.00"/>
    <numFmt numFmtId="186" formatCode="0;&quot;△ &quot;0"/>
    <numFmt numFmtId="187" formatCode="0.0_);[Red]\(0.0\)"/>
    <numFmt numFmtId="188" formatCode="0.00_);[Red]\(0.00\)"/>
    <numFmt numFmtId="189" formatCode="0.000_);[Red]\(0.000\)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#,##0;[Red]\-#,##0;"/>
  </numFmts>
  <fonts count="44">
    <font>
      <sz val="11"/>
      <name val="ＭＳ ゴシック"/>
      <family val="3"/>
    </font>
    <font>
      <sz val="6"/>
      <name val="ＭＳ ゴシック"/>
      <family val="3"/>
    </font>
    <font>
      <sz val="11"/>
      <name val="ＭＳ Ｐ明朝"/>
      <family val="1"/>
    </font>
    <font>
      <sz val="12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double"/>
      <top style="thin"/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 style="double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thin"/>
    </border>
    <border>
      <left style="double"/>
      <right style="hair"/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41" fontId="4" fillId="0" borderId="18" xfId="0" applyNumberFormat="1" applyFont="1" applyBorder="1" applyAlignment="1">
      <alignment vertical="center"/>
    </xf>
    <xf numFmtId="41" fontId="4" fillId="0" borderId="19" xfId="0" applyNumberFormat="1" applyFont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41" fontId="4" fillId="0" borderId="22" xfId="0" applyNumberFormat="1" applyFont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4" fillId="0" borderId="21" xfId="0" applyNumberFormat="1" applyFont="1" applyBorder="1" applyAlignment="1">
      <alignment vertical="center"/>
    </xf>
    <xf numFmtId="41" fontId="4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41" fontId="4" fillId="0" borderId="14" xfId="0" applyNumberFormat="1" applyFont="1" applyBorder="1" applyAlignment="1">
      <alignment vertical="center"/>
    </xf>
    <xf numFmtId="41" fontId="4" fillId="0" borderId="27" xfId="0" applyNumberFormat="1" applyFont="1" applyBorder="1" applyAlignment="1">
      <alignment vertical="center"/>
    </xf>
    <xf numFmtId="41" fontId="4" fillId="0" borderId="28" xfId="0" applyNumberFormat="1" applyFont="1" applyBorder="1" applyAlignment="1">
      <alignment vertical="center"/>
    </xf>
    <xf numFmtId="41" fontId="4" fillId="0" borderId="29" xfId="0" applyNumberFormat="1" applyFont="1" applyBorder="1" applyAlignment="1">
      <alignment vertical="center"/>
    </xf>
    <xf numFmtId="41" fontId="4" fillId="0" borderId="25" xfId="0" applyNumberFormat="1" applyFont="1" applyBorder="1" applyAlignment="1">
      <alignment vertical="center"/>
    </xf>
    <xf numFmtId="41" fontId="4" fillId="0" borderId="30" xfId="0" applyNumberFormat="1" applyFont="1" applyBorder="1" applyAlignment="1">
      <alignment vertical="center"/>
    </xf>
    <xf numFmtId="41" fontId="4" fillId="0" borderId="31" xfId="0" applyNumberFormat="1" applyFont="1" applyBorder="1" applyAlignment="1">
      <alignment vertical="center"/>
    </xf>
    <xf numFmtId="41" fontId="4" fillId="0" borderId="32" xfId="0" applyNumberFormat="1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41" fontId="4" fillId="0" borderId="34" xfId="0" applyNumberFormat="1" applyFont="1" applyBorder="1" applyAlignment="1">
      <alignment vertical="center"/>
    </xf>
    <xf numFmtId="41" fontId="4" fillId="0" borderId="35" xfId="0" applyNumberFormat="1" applyFont="1" applyBorder="1" applyAlignment="1">
      <alignment vertical="center"/>
    </xf>
    <xf numFmtId="41" fontId="4" fillId="0" borderId="36" xfId="0" applyNumberFormat="1" applyFont="1" applyBorder="1" applyAlignment="1">
      <alignment vertical="center"/>
    </xf>
    <xf numFmtId="41" fontId="4" fillId="0" borderId="37" xfId="0" applyNumberFormat="1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41" fontId="4" fillId="0" borderId="39" xfId="0" applyNumberFormat="1" applyFont="1" applyBorder="1" applyAlignment="1">
      <alignment vertical="center"/>
    </xf>
    <xf numFmtId="41" fontId="4" fillId="0" borderId="40" xfId="0" applyNumberFormat="1" applyFont="1" applyBorder="1" applyAlignment="1">
      <alignment vertical="center"/>
    </xf>
    <xf numFmtId="41" fontId="4" fillId="0" borderId="41" xfId="0" applyNumberFormat="1" applyFont="1" applyBorder="1" applyAlignment="1">
      <alignment vertical="center"/>
    </xf>
    <xf numFmtId="41" fontId="4" fillId="0" borderId="42" xfId="0" applyNumberFormat="1" applyFont="1" applyBorder="1" applyAlignment="1">
      <alignment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1" fontId="4" fillId="0" borderId="43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8" fontId="4" fillId="0" borderId="21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0" applyNumberFormat="1" applyFont="1" applyAlignment="1">
      <alignment vertical="center"/>
    </xf>
    <xf numFmtId="177" fontId="4" fillId="0" borderId="24" xfId="0" applyNumberFormat="1" applyFont="1" applyBorder="1" applyAlignment="1">
      <alignment vertical="center"/>
    </xf>
    <xf numFmtId="179" fontId="4" fillId="0" borderId="18" xfId="49" applyNumberFormat="1" applyFont="1" applyBorder="1" applyAlignment="1">
      <alignment vertical="center"/>
    </xf>
    <xf numFmtId="41" fontId="4" fillId="0" borderId="44" xfId="0" applyNumberFormat="1" applyFont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vertical="center"/>
    </xf>
    <xf numFmtId="41" fontId="4" fillId="0" borderId="45" xfId="0" applyNumberFormat="1" applyFont="1" applyBorder="1" applyAlignment="1">
      <alignment vertical="center"/>
    </xf>
    <xf numFmtId="41" fontId="4" fillId="0" borderId="22" xfId="0" applyNumberFormat="1" applyFont="1" applyFill="1" applyBorder="1" applyAlignment="1">
      <alignment vertical="center"/>
    </xf>
    <xf numFmtId="41" fontId="4" fillId="0" borderId="24" xfId="0" applyNumberFormat="1" applyFont="1" applyFill="1" applyBorder="1" applyAlignment="1">
      <alignment vertical="center"/>
    </xf>
    <xf numFmtId="41" fontId="4" fillId="0" borderId="21" xfId="0" applyNumberFormat="1" applyFont="1" applyFill="1" applyBorder="1" applyAlignment="1">
      <alignment vertical="center"/>
    </xf>
    <xf numFmtId="41" fontId="4" fillId="0" borderId="22" xfId="0" applyNumberFormat="1" applyFont="1" applyBorder="1" applyAlignment="1">
      <alignment horizontal="right" vertical="center"/>
    </xf>
    <xf numFmtId="41" fontId="4" fillId="0" borderId="24" xfId="0" applyNumberFormat="1" applyFont="1" applyBorder="1" applyAlignment="1">
      <alignment horizontal="right" vertical="center"/>
    </xf>
    <xf numFmtId="41" fontId="4" fillId="0" borderId="21" xfId="0" applyNumberFormat="1" applyFont="1" applyBorder="1" applyAlignment="1">
      <alignment horizontal="right" vertical="center"/>
    </xf>
    <xf numFmtId="176" fontId="6" fillId="33" borderId="46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176" fontId="6" fillId="33" borderId="47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6" fontId="6" fillId="33" borderId="48" xfId="0" applyNumberFormat="1" applyFont="1" applyFill="1" applyBorder="1" applyAlignment="1">
      <alignment vertical="center"/>
    </xf>
    <xf numFmtId="0" fontId="6" fillId="0" borderId="0" xfId="0" applyFont="1" applyBorder="1" applyAlignment="1" quotePrefix="1">
      <alignment horizontal="left" vertical="center"/>
    </xf>
    <xf numFmtId="176" fontId="6" fillId="0" borderId="0" xfId="49" applyNumberFormat="1" applyFont="1" applyBorder="1" applyAlignment="1">
      <alignment vertical="center"/>
    </xf>
    <xf numFmtId="180" fontId="4" fillId="0" borderId="21" xfId="0" applyNumberFormat="1" applyFont="1" applyBorder="1" applyAlignment="1">
      <alignment vertical="center"/>
    </xf>
    <xf numFmtId="180" fontId="4" fillId="0" borderId="25" xfId="0" applyNumberFormat="1" applyFont="1" applyBorder="1" applyAlignment="1">
      <alignment vertical="center"/>
    </xf>
    <xf numFmtId="180" fontId="4" fillId="0" borderId="22" xfId="0" applyNumberFormat="1" applyFont="1" applyBorder="1" applyAlignment="1">
      <alignment vertical="center"/>
    </xf>
    <xf numFmtId="180" fontId="6" fillId="33" borderId="46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6" fillId="33" borderId="49" xfId="0" applyNumberFormat="1" applyFont="1" applyFill="1" applyBorder="1" applyAlignment="1">
      <alignment vertical="center"/>
    </xf>
    <xf numFmtId="0" fontId="6" fillId="33" borderId="47" xfId="0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176" fontId="6" fillId="33" borderId="50" xfId="0" applyNumberFormat="1" applyFont="1" applyFill="1" applyBorder="1" applyAlignment="1">
      <alignment vertical="center"/>
    </xf>
    <xf numFmtId="176" fontId="6" fillId="33" borderId="51" xfId="0" applyNumberFormat="1" applyFont="1" applyFill="1" applyBorder="1" applyAlignment="1">
      <alignment vertical="center"/>
    </xf>
    <xf numFmtId="176" fontId="6" fillId="33" borderId="52" xfId="0" applyNumberFormat="1" applyFont="1" applyFill="1" applyBorder="1" applyAlignment="1">
      <alignment vertical="center"/>
    </xf>
    <xf numFmtId="180" fontId="4" fillId="0" borderId="18" xfId="0" applyNumberFormat="1" applyFont="1" applyBorder="1" applyAlignment="1">
      <alignment vertical="center"/>
    </xf>
    <xf numFmtId="177" fontId="4" fillId="0" borderId="44" xfId="0" applyNumberFormat="1" applyFont="1" applyBorder="1" applyAlignment="1">
      <alignment vertical="center"/>
    </xf>
    <xf numFmtId="176" fontId="6" fillId="33" borderId="47" xfId="0" applyNumberFormat="1" applyFont="1" applyFill="1" applyBorder="1" applyAlignment="1">
      <alignment vertical="center"/>
    </xf>
    <xf numFmtId="0" fontId="6" fillId="33" borderId="47" xfId="0" applyFont="1" applyFill="1" applyBorder="1" applyAlignment="1">
      <alignment vertical="center"/>
    </xf>
    <xf numFmtId="180" fontId="4" fillId="0" borderId="22" xfId="0" applyNumberFormat="1" applyFont="1" applyBorder="1" applyAlignment="1">
      <alignment horizontal="right" vertical="center"/>
    </xf>
    <xf numFmtId="177" fontId="6" fillId="33" borderId="46" xfId="0" applyNumberFormat="1" applyFont="1" applyFill="1" applyBorder="1" applyAlignment="1">
      <alignment horizontal="right" vertical="center"/>
    </xf>
    <xf numFmtId="180" fontId="6" fillId="33" borderId="47" xfId="0" applyNumberFormat="1" applyFont="1" applyFill="1" applyBorder="1" applyAlignment="1">
      <alignment horizontal="right" vertical="center"/>
    </xf>
    <xf numFmtId="176" fontId="6" fillId="33" borderId="46" xfId="0" applyNumberFormat="1" applyFont="1" applyFill="1" applyBorder="1" applyAlignment="1">
      <alignment horizontal="right" vertical="center"/>
    </xf>
    <xf numFmtId="180" fontId="6" fillId="33" borderId="46" xfId="0" applyNumberFormat="1" applyFont="1" applyFill="1" applyBorder="1" applyAlignment="1">
      <alignment horizontal="right" vertical="center"/>
    </xf>
    <xf numFmtId="176" fontId="6" fillId="33" borderId="47" xfId="0" applyNumberFormat="1" applyFont="1" applyFill="1" applyBorder="1" applyAlignment="1">
      <alignment horizontal="right" vertical="center"/>
    </xf>
    <xf numFmtId="176" fontId="6" fillId="33" borderId="48" xfId="0" applyNumberFormat="1" applyFont="1" applyFill="1" applyBorder="1" applyAlignment="1">
      <alignment horizontal="right" vertical="center"/>
    </xf>
    <xf numFmtId="176" fontId="6" fillId="33" borderId="49" xfId="0" applyNumberFormat="1" applyFont="1" applyFill="1" applyBorder="1" applyAlignment="1">
      <alignment horizontal="right" vertical="center"/>
    </xf>
    <xf numFmtId="186" fontId="6" fillId="33" borderId="48" xfId="0" applyNumberFormat="1" applyFont="1" applyFill="1" applyBorder="1" applyAlignment="1">
      <alignment vertical="center"/>
    </xf>
    <xf numFmtId="0" fontId="6" fillId="33" borderId="46" xfId="0" applyNumberFormat="1" applyFont="1" applyFill="1" applyBorder="1" applyAlignment="1">
      <alignment vertical="center"/>
    </xf>
    <xf numFmtId="0" fontId="6" fillId="33" borderId="47" xfId="0" applyNumberFormat="1" applyFont="1" applyFill="1" applyBorder="1" applyAlignment="1">
      <alignment vertical="center"/>
    </xf>
    <xf numFmtId="41" fontId="6" fillId="33" borderId="47" xfId="0" applyNumberFormat="1" applyFont="1" applyFill="1" applyBorder="1" applyAlignment="1">
      <alignment vertical="center"/>
    </xf>
    <xf numFmtId="41" fontId="6" fillId="33" borderId="46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176" fontId="6" fillId="33" borderId="46" xfId="0" applyNumberFormat="1" applyFont="1" applyFill="1" applyBorder="1" applyAlignment="1" applyProtection="1">
      <alignment horizontal="right" vertical="center"/>
      <protection/>
    </xf>
    <xf numFmtId="180" fontId="4" fillId="0" borderId="45" xfId="0" applyNumberFormat="1" applyFont="1" applyBorder="1" applyAlignment="1">
      <alignment vertical="center"/>
    </xf>
    <xf numFmtId="176" fontId="6" fillId="33" borderId="46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6" fillId="33" borderId="55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 indent="2"/>
    </xf>
    <xf numFmtId="0" fontId="4" fillId="0" borderId="58" xfId="0" applyFont="1" applyBorder="1" applyAlignment="1">
      <alignment horizontal="distributed" vertical="center" indent="2"/>
    </xf>
    <xf numFmtId="0" fontId="4" fillId="0" borderId="5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/>
    <dxf/>
    <dxf/>
    <dxf/>
    <dxf/>
    <dxf/>
    <dxf/>
    <dxf/>
    <dxf/>
    <dxf/>
    <dxf/>
    <dxf/>
    <dxf>
      <numFmt numFmtId="41" formatCode="_ * #,##0_ ;_ * \-#,##0_ ;_ * &quot;-&quot;_ ;_ @_ "/>
      <border/>
    </dxf>
    <dxf>
      <numFmt numFmtId="176" formatCode="#,##0;&quot;△ &quot;#,##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7.59765625" style="56" customWidth="1"/>
    <col min="2" max="2" width="5.5" style="56" customWidth="1"/>
    <col min="3" max="3" width="11.8984375" style="56" customWidth="1"/>
    <col min="4" max="4" width="13.5" style="56" customWidth="1"/>
    <col min="5" max="5" width="9.5" style="56" bestFit="1" customWidth="1"/>
    <col min="6" max="6" width="11.8984375" style="56" customWidth="1"/>
    <col min="7" max="7" width="8.59765625" style="56" customWidth="1"/>
    <col min="8" max="8" width="11.8984375" style="56" customWidth="1"/>
    <col min="9" max="9" width="9.5" style="56" bestFit="1" customWidth="1"/>
    <col min="10" max="10" width="11.8984375" style="56" customWidth="1"/>
    <col min="11" max="11" width="8.59765625" style="56" customWidth="1"/>
    <col min="12" max="12" width="11.8984375" style="56" customWidth="1"/>
    <col min="13" max="13" width="8.59765625" style="56" customWidth="1"/>
    <col min="14" max="14" width="11.8984375" style="56" customWidth="1"/>
    <col min="15" max="15" width="8.59765625" style="56" customWidth="1"/>
    <col min="16" max="16" width="11.8984375" style="56" customWidth="1"/>
    <col min="17" max="17" width="8.59765625" style="56" customWidth="1"/>
    <col min="18" max="18" width="11.8984375" style="56" customWidth="1"/>
    <col min="19" max="19" width="8.59765625" style="56" customWidth="1"/>
    <col min="20" max="20" width="11.8984375" style="56" customWidth="1"/>
    <col min="21" max="21" width="9.5" style="56" bestFit="1" customWidth="1"/>
    <col min="22" max="22" width="11.8984375" style="56" customWidth="1"/>
    <col min="23" max="23" width="10.5" style="56" bestFit="1" customWidth="1"/>
    <col min="24" max="24" width="11.8984375" style="56" customWidth="1"/>
    <col min="25" max="25" width="8.59765625" style="56" customWidth="1"/>
    <col min="26" max="26" width="11.8984375" style="56" customWidth="1"/>
    <col min="27" max="27" width="9.5" style="56" bestFit="1" customWidth="1"/>
    <col min="28" max="28" width="11.8984375" style="56" customWidth="1"/>
    <col min="29" max="16384" width="9" style="56" customWidth="1"/>
  </cols>
  <sheetData>
    <row r="1" spans="1:4" ht="16.5" customHeight="1">
      <c r="A1" s="5" t="s">
        <v>101</v>
      </c>
      <c r="C1" s="5"/>
      <c r="D1" s="5"/>
    </row>
    <row r="2" ht="13.5" customHeight="1"/>
    <row r="3" s="6" customFormat="1" ht="16.5" customHeight="1">
      <c r="A3" s="6" t="s">
        <v>31</v>
      </c>
    </row>
    <row r="4" spans="1:28" s="6" customFormat="1" ht="18.75" customHeight="1">
      <c r="A4" s="120" t="s">
        <v>18</v>
      </c>
      <c r="B4" s="121"/>
      <c r="C4" s="124" t="s">
        <v>0</v>
      </c>
      <c r="D4" s="125"/>
      <c r="E4" s="126" t="s">
        <v>14</v>
      </c>
      <c r="F4" s="113"/>
      <c r="G4" s="112" t="s">
        <v>21</v>
      </c>
      <c r="H4" s="113"/>
      <c r="I4" s="112" t="s">
        <v>22</v>
      </c>
      <c r="J4" s="113"/>
      <c r="K4" s="112" t="s">
        <v>23</v>
      </c>
      <c r="L4" s="113"/>
      <c r="M4" s="112" t="s">
        <v>24</v>
      </c>
      <c r="N4" s="113"/>
      <c r="O4" s="112" t="s">
        <v>15</v>
      </c>
      <c r="P4" s="113"/>
      <c r="Q4" s="112" t="s">
        <v>25</v>
      </c>
      <c r="R4" s="113"/>
      <c r="S4" s="112" t="s">
        <v>26</v>
      </c>
      <c r="T4" s="113"/>
      <c r="U4" s="112" t="s">
        <v>27</v>
      </c>
      <c r="V4" s="113"/>
      <c r="W4" s="112" t="s">
        <v>28</v>
      </c>
      <c r="X4" s="113"/>
      <c r="Y4" s="112" t="s">
        <v>29</v>
      </c>
      <c r="Z4" s="113"/>
      <c r="AA4" s="112" t="s">
        <v>30</v>
      </c>
      <c r="AB4" s="113"/>
    </row>
    <row r="5" spans="1:28" s="6" customFormat="1" ht="18.75" customHeight="1">
      <c r="A5" s="122"/>
      <c r="B5" s="123"/>
      <c r="C5" s="7" t="s">
        <v>16</v>
      </c>
      <c r="D5" s="40" t="s">
        <v>17</v>
      </c>
      <c r="E5" s="35" t="s">
        <v>16</v>
      </c>
      <c r="F5" s="10" t="s">
        <v>17</v>
      </c>
      <c r="G5" s="7" t="s">
        <v>16</v>
      </c>
      <c r="H5" s="8" t="s">
        <v>17</v>
      </c>
      <c r="I5" s="9" t="s">
        <v>16</v>
      </c>
      <c r="J5" s="10" t="s">
        <v>17</v>
      </c>
      <c r="K5" s="7" t="s">
        <v>16</v>
      </c>
      <c r="L5" s="8" t="s">
        <v>17</v>
      </c>
      <c r="M5" s="9" t="s">
        <v>16</v>
      </c>
      <c r="N5" s="10" t="s">
        <v>17</v>
      </c>
      <c r="O5" s="7" t="s">
        <v>16</v>
      </c>
      <c r="P5" s="8" t="s">
        <v>17</v>
      </c>
      <c r="Q5" s="9" t="s">
        <v>16</v>
      </c>
      <c r="R5" s="8" t="s">
        <v>17</v>
      </c>
      <c r="S5" s="7" t="s">
        <v>16</v>
      </c>
      <c r="T5" s="8" t="s">
        <v>17</v>
      </c>
      <c r="U5" s="9" t="s">
        <v>16</v>
      </c>
      <c r="V5" s="10" t="s">
        <v>17</v>
      </c>
      <c r="W5" s="7" t="s">
        <v>16</v>
      </c>
      <c r="X5" s="8" t="s">
        <v>17</v>
      </c>
      <c r="Y5" s="9" t="s">
        <v>16</v>
      </c>
      <c r="Z5" s="8" t="s">
        <v>17</v>
      </c>
      <c r="AA5" s="7" t="s">
        <v>16</v>
      </c>
      <c r="AB5" s="8" t="s">
        <v>17</v>
      </c>
    </row>
    <row r="6" spans="1:28" s="6" customFormat="1" ht="18.75" customHeight="1">
      <c r="A6" s="11" t="s">
        <v>71</v>
      </c>
      <c r="B6" s="85" t="s">
        <v>13</v>
      </c>
      <c r="C6" s="29">
        <v>114577</v>
      </c>
      <c r="D6" s="41">
        <v>11911835</v>
      </c>
      <c r="E6" s="36">
        <v>53813</v>
      </c>
      <c r="F6" s="30">
        <v>3896698</v>
      </c>
      <c r="G6" s="27">
        <v>3869</v>
      </c>
      <c r="H6" s="28">
        <v>966494</v>
      </c>
      <c r="I6" s="29">
        <v>28526</v>
      </c>
      <c r="J6" s="28">
        <v>1985504</v>
      </c>
      <c r="K6" s="27">
        <v>3602</v>
      </c>
      <c r="L6" s="28">
        <v>587516</v>
      </c>
      <c r="M6" s="29">
        <v>1345</v>
      </c>
      <c r="N6" s="28">
        <v>705161</v>
      </c>
      <c r="O6" s="27">
        <v>1579</v>
      </c>
      <c r="P6" s="28">
        <v>856075</v>
      </c>
      <c r="Q6" s="29">
        <v>118</v>
      </c>
      <c r="R6" s="28">
        <v>212500</v>
      </c>
      <c r="S6" s="27">
        <v>741</v>
      </c>
      <c r="T6" s="28">
        <v>140828</v>
      </c>
      <c r="U6" s="29">
        <v>3364</v>
      </c>
      <c r="V6" s="28">
        <v>78773</v>
      </c>
      <c r="W6" s="27">
        <v>2280</v>
      </c>
      <c r="X6" s="28">
        <v>43754</v>
      </c>
      <c r="Y6" s="29">
        <v>251</v>
      </c>
      <c r="Z6" s="28">
        <v>257030</v>
      </c>
      <c r="AA6" s="27">
        <v>15089</v>
      </c>
      <c r="AB6" s="28">
        <v>2181502</v>
      </c>
    </row>
    <row r="7" spans="1:28" s="6" customFormat="1" ht="18.75" customHeight="1">
      <c r="A7" s="19" t="s">
        <v>70</v>
      </c>
      <c r="B7" s="86" t="s">
        <v>13</v>
      </c>
      <c r="C7" s="21">
        <v>137948</v>
      </c>
      <c r="D7" s="43">
        <v>14562957</v>
      </c>
      <c r="E7" s="38">
        <v>55786</v>
      </c>
      <c r="F7" s="22">
        <v>4489157</v>
      </c>
      <c r="G7" s="23">
        <v>3310</v>
      </c>
      <c r="H7" s="24">
        <v>992926</v>
      </c>
      <c r="I7" s="21">
        <v>27899</v>
      </c>
      <c r="J7" s="24">
        <v>2081572</v>
      </c>
      <c r="K7" s="23">
        <v>3869</v>
      </c>
      <c r="L7" s="24">
        <v>893617</v>
      </c>
      <c r="M7" s="21">
        <v>1490</v>
      </c>
      <c r="N7" s="24">
        <v>754333</v>
      </c>
      <c r="O7" s="23">
        <v>1487</v>
      </c>
      <c r="P7" s="24">
        <v>916744</v>
      </c>
      <c r="Q7" s="21">
        <v>108</v>
      </c>
      <c r="R7" s="24">
        <v>195023</v>
      </c>
      <c r="S7" s="23">
        <v>725</v>
      </c>
      <c r="T7" s="24">
        <v>89569</v>
      </c>
      <c r="U7" s="21">
        <v>1891</v>
      </c>
      <c r="V7" s="24">
        <v>144705</v>
      </c>
      <c r="W7" s="23">
        <v>16112</v>
      </c>
      <c r="X7" s="24">
        <v>382795</v>
      </c>
      <c r="Y7" s="46">
        <v>360</v>
      </c>
      <c r="Z7" s="24">
        <v>326991</v>
      </c>
      <c r="AA7" s="23">
        <v>24912</v>
      </c>
      <c r="AB7" s="24">
        <v>3295525</v>
      </c>
    </row>
    <row r="8" spans="1:28" s="6" customFormat="1" ht="18.75" customHeight="1">
      <c r="A8" s="19" t="s">
        <v>69</v>
      </c>
      <c r="B8" s="86" t="s">
        <v>13</v>
      </c>
      <c r="C8" s="21">
        <v>107569</v>
      </c>
      <c r="D8" s="43">
        <v>12723109</v>
      </c>
      <c r="E8" s="38">
        <v>50408</v>
      </c>
      <c r="F8" s="22">
        <v>4285036</v>
      </c>
      <c r="G8" s="23">
        <v>3511</v>
      </c>
      <c r="H8" s="24">
        <v>1040834</v>
      </c>
      <c r="I8" s="21">
        <v>34098</v>
      </c>
      <c r="J8" s="24">
        <v>2522079</v>
      </c>
      <c r="K8" s="23">
        <v>4992</v>
      </c>
      <c r="L8" s="24">
        <v>660467</v>
      </c>
      <c r="M8" s="21">
        <v>1176</v>
      </c>
      <c r="N8" s="24">
        <v>718806</v>
      </c>
      <c r="O8" s="23">
        <v>1422</v>
      </c>
      <c r="P8" s="24">
        <v>853981</v>
      </c>
      <c r="Q8" s="21">
        <v>103</v>
      </c>
      <c r="R8" s="24">
        <v>171971</v>
      </c>
      <c r="S8" s="23">
        <v>482</v>
      </c>
      <c r="T8" s="24">
        <v>114497</v>
      </c>
      <c r="U8" s="21">
        <v>794</v>
      </c>
      <c r="V8" s="24">
        <v>72318</v>
      </c>
      <c r="W8" s="23">
        <v>52</v>
      </c>
      <c r="X8" s="24">
        <v>2180</v>
      </c>
      <c r="Y8" s="46">
        <v>250</v>
      </c>
      <c r="Z8" s="24">
        <v>366073</v>
      </c>
      <c r="AA8" s="23">
        <v>10282</v>
      </c>
      <c r="AB8" s="24">
        <v>1914866</v>
      </c>
    </row>
    <row r="9" spans="1:28" s="6" customFormat="1" ht="18.75" customHeight="1">
      <c r="A9" s="19" t="s">
        <v>68</v>
      </c>
      <c r="B9" s="86" t="s">
        <v>13</v>
      </c>
      <c r="C9" s="21">
        <v>125679</v>
      </c>
      <c r="D9" s="43">
        <v>15281221</v>
      </c>
      <c r="E9" s="38">
        <v>66253</v>
      </c>
      <c r="F9" s="22">
        <v>6179462</v>
      </c>
      <c r="G9" s="23">
        <v>3669</v>
      </c>
      <c r="H9" s="24">
        <v>1200338</v>
      </c>
      <c r="I9" s="21">
        <v>30698</v>
      </c>
      <c r="J9" s="24">
        <v>2575115</v>
      </c>
      <c r="K9" s="23">
        <v>1852</v>
      </c>
      <c r="L9" s="24">
        <v>257255</v>
      </c>
      <c r="M9" s="21">
        <v>972</v>
      </c>
      <c r="N9" s="24">
        <v>586883</v>
      </c>
      <c r="O9" s="23">
        <v>1462</v>
      </c>
      <c r="P9" s="24">
        <v>895714</v>
      </c>
      <c r="Q9" s="21">
        <v>32</v>
      </c>
      <c r="R9" s="24">
        <v>54093</v>
      </c>
      <c r="S9" s="23">
        <v>233</v>
      </c>
      <c r="T9" s="24">
        <v>70889</v>
      </c>
      <c r="U9" s="21">
        <v>19</v>
      </c>
      <c r="V9" s="24">
        <v>2464</v>
      </c>
      <c r="W9" s="23">
        <v>681</v>
      </c>
      <c r="X9" s="24">
        <v>20030</v>
      </c>
      <c r="Y9" s="46">
        <v>102</v>
      </c>
      <c r="Z9" s="24">
        <v>191992</v>
      </c>
      <c r="AA9" s="23">
        <v>19706</v>
      </c>
      <c r="AB9" s="24">
        <v>3246986</v>
      </c>
    </row>
    <row r="10" spans="1:28" s="6" customFormat="1" ht="18.75" customHeight="1">
      <c r="A10" s="19" t="s">
        <v>67</v>
      </c>
      <c r="B10" s="86" t="s">
        <v>13</v>
      </c>
      <c r="C10" s="21">
        <v>128052</v>
      </c>
      <c r="D10" s="43">
        <v>12154590</v>
      </c>
      <c r="E10" s="38">
        <v>55825</v>
      </c>
      <c r="F10" s="22">
        <v>3325149</v>
      </c>
      <c r="G10" s="23">
        <v>3603</v>
      </c>
      <c r="H10" s="24">
        <v>926514</v>
      </c>
      <c r="I10" s="21">
        <v>28797</v>
      </c>
      <c r="J10" s="24">
        <v>2548975</v>
      </c>
      <c r="K10" s="23">
        <v>4772</v>
      </c>
      <c r="L10" s="24">
        <v>619477</v>
      </c>
      <c r="M10" s="21">
        <v>863</v>
      </c>
      <c r="N10" s="24">
        <v>414570</v>
      </c>
      <c r="O10" s="23">
        <v>1019</v>
      </c>
      <c r="P10" s="24">
        <v>615953</v>
      </c>
      <c r="Q10" s="21">
        <v>72</v>
      </c>
      <c r="R10" s="24">
        <v>121419</v>
      </c>
      <c r="S10" s="23">
        <v>958</v>
      </c>
      <c r="T10" s="24">
        <v>176614</v>
      </c>
      <c r="U10" s="21">
        <v>0</v>
      </c>
      <c r="V10" s="24">
        <v>0</v>
      </c>
      <c r="W10" s="23">
        <v>7138</v>
      </c>
      <c r="X10" s="24">
        <v>123775</v>
      </c>
      <c r="Y10" s="46">
        <v>252</v>
      </c>
      <c r="Z10" s="24">
        <v>250170</v>
      </c>
      <c r="AA10" s="23">
        <v>24753</v>
      </c>
      <c r="AB10" s="24">
        <v>3031974</v>
      </c>
    </row>
    <row r="11" spans="1:28" s="6" customFormat="1" ht="18.75" customHeight="1">
      <c r="A11" s="19" t="s">
        <v>66</v>
      </c>
      <c r="B11" s="86" t="s">
        <v>13</v>
      </c>
      <c r="C11" s="21">
        <v>113990</v>
      </c>
      <c r="D11" s="43">
        <v>11357761</v>
      </c>
      <c r="E11" s="38">
        <v>64240</v>
      </c>
      <c r="F11" s="22">
        <v>4297828</v>
      </c>
      <c r="G11" s="23">
        <v>4715</v>
      </c>
      <c r="H11" s="24">
        <v>1228507</v>
      </c>
      <c r="I11" s="21">
        <v>18531</v>
      </c>
      <c r="J11" s="24">
        <v>2052722</v>
      </c>
      <c r="K11" s="23">
        <v>3085</v>
      </c>
      <c r="L11" s="24">
        <v>713613</v>
      </c>
      <c r="M11" s="21">
        <v>866</v>
      </c>
      <c r="N11" s="24">
        <v>331092</v>
      </c>
      <c r="O11" s="23">
        <v>1282</v>
      </c>
      <c r="P11" s="24">
        <v>899729</v>
      </c>
      <c r="Q11" s="21">
        <v>58</v>
      </c>
      <c r="R11" s="24">
        <v>75496</v>
      </c>
      <c r="S11" s="23">
        <v>429</v>
      </c>
      <c r="T11" s="24">
        <v>88209</v>
      </c>
      <c r="U11" s="21">
        <v>250</v>
      </c>
      <c r="V11" s="24">
        <v>9225</v>
      </c>
      <c r="W11" s="23">
        <v>14742</v>
      </c>
      <c r="X11" s="24">
        <v>356297</v>
      </c>
      <c r="Y11" s="46">
        <v>271</v>
      </c>
      <c r="Z11" s="24">
        <v>190923</v>
      </c>
      <c r="AA11" s="23">
        <v>5521</v>
      </c>
      <c r="AB11" s="24">
        <v>1114120</v>
      </c>
    </row>
    <row r="12" spans="1:28" s="6" customFormat="1" ht="18.75" customHeight="1">
      <c r="A12" s="19" t="s">
        <v>65</v>
      </c>
      <c r="B12" s="86" t="s">
        <v>13</v>
      </c>
      <c r="C12" s="21">
        <v>119641</v>
      </c>
      <c r="D12" s="43">
        <v>9969801</v>
      </c>
      <c r="E12" s="38">
        <v>69584</v>
      </c>
      <c r="F12" s="22">
        <v>2931896</v>
      </c>
      <c r="G12" s="23">
        <v>5691</v>
      </c>
      <c r="H12" s="24">
        <v>1426392</v>
      </c>
      <c r="I12" s="21">
        <v>28277</v>
      </c>
      <c r="J12" s="24">
        <v>2446794</v>
      </c>
      <c r="K12" s="23">
        <v>6271</v>
      </c>
      <c r="L12" s="24">
        <v>1119647</v>
      </c>
      <c r="M12" s="21">
        <v>1303</v>
      </c>
      <c r="N12" s="24">
        <v>482612</v>
      </c>
      <c r="O12" s="23">
        <v>853</v>
      </c>
      <c r="P12" s="24">
        <v>549834</v>
      </c>
      <c r="Q12" s="21">
        <v>97</v>
      </c>
      <c r="R12" s="24">
        <v>92703</v>
      </c>
      <c r="S12" s="23">
        <v>248</v>
      </c>
      <c r="T12" s="24">
        <v>65418</v>
      </c>
      <c r="U12" s="21">
        <v>13</v>
      </c>
      <c r="V12" s="24">
        <v>2146</v>
      </c>
      <c r="W12" s="23">
        <v>3727</v>
      </c>
      <c r="X12" s="24">
        <v>76854</v>
      </c>
      <c r="Y12" s="46">
        <v>138</v>
      </c>
      <c r="Z12" s="24">
        <v>137147</v>
      </c>
      <c r="AA12" s="23">
        <v>3439</v>
      </c>
      <c r="AB12" s="24">
        <v>638358</v>
      </c>
    </row>
    <row r="13" spans="1:28" s="6" customFormat="1" ht="18.75" customHeight="1">
      <c r="A13" s="19" t="s">
        <v>64</v>
      </c>
      <c r="B13" s="86" t="s">
        <v>13</v>
      </c>
      <c r="C13" s="21">
        <v>110258</v>
      </c>
      <c r="D13" s="43">
        <v>8839453</v>
      </c>
      <c r="E13" s="64">
        <v>58421</v>
      </c>
      <c r="F13" s="22">
        <v>2986632</v>
      </c>
      <c r="G13" s="23">
        <v>6652</v>
      </c>
      <c r="H13" s="24">
        <v>1281557</v>
      </c>
      <c r="I13" s="65">
        <v>23683</v>
      </c>
      <c r="J13" s="66">
        <v>1484421</v>
      </c>
      <c r="K13" s="23">
        <v>6664</v>
      </c>
      <c r="L13" s="24">
        <v>963214</v>
      </c>
      <c r="M13" s="21">
        <v>1155</v>
      </c>
      <c r="N13" s="24">
        <v>444008</v>
      </c>
      <c r="O13" s="23">
        <v>504</v>
      </c>
      <c r="P13" s="24">
        <v>237111</v>
      </c>
      <c r="Q13" s="21">
        <v>104</v>
      </c>
      <c r="R13" s="24">
        <v>96695</v>
      </c>
      <c r="S13" s="23">
        <v>47</v>
      </c>
      <c r="T13" s="24">
        <v>11308</v>
      </c>
      <c r="U13" s="21">
        <v>2410</v>
      </c>
      <c r="V13" s="24">
        <v>181592</v>
      </c>
      <c r="W13" s="46">
        <v>3162</v>
      </c>
      <c r="X13" s="24">
        <v>77658</v>
      </c>
      <c r="Y13" s="46">
        <v>192</v>
      </c>
      <c r="Z13" s="24">
        <v>321608</v>
      </c>
      <c r="AA13" s="67">
        <v>7264</v>
      </c>
      <c r="AB13" s="66">
        <v>753649</v>
      </c>
    </row>
    <row r="14" spans="1:28" s="48" customFormat="1" ht="18.75" customHeight="1">
      <c r="A14" s="19" t="s">
        <v>63</v>
      </c>
      <c r="B14" s="86" t="s">
        <v>13</v>
      </c>
      <c r="C14" s="21">
        <v>110668</v>
      </c>
      <c r="D14" s="43">
        <v>9021716</v>
      </c>
      <c r="E14" s="64">
        <v>65699</v>
      </c>
      <c r="F14" s="22">
        <v>3137775</v>
      </c>
      <c r="G14" s="23">
        <v>7287</v>
      </c>
      <c r="H14" s="24">
        <v>1124322</v>
      </c>
      <c r="I14" s="65">
        <v>15196</v>
      </c>
      <c r="J14" s="66">
        <v>1527694</v>
      </c>
      <c r="K14" s="23">
        <v>3001</v>
      </c>
      <c r="L14" s="24">
        <v>709906</v>
      </c>
      <c r="M14" s="21">
        <v>986</v>
      </c>
      <c r="N14" s="24">
        <v>319190</v>
      </c>
      <c r="O14" s="23">
        <v>268</v>
      </c>
      <c r="P14" s="24">
        <v>173234</v>
      </c>
      <c r="Q14" s="21">
        <v>181</v>
      </c>
      <c r="R14" s="24">
        <v>178894</v>
      </c>
      <c r="S14" s="23">
        <v>116</v>
      </c>
      <c r="T14" s="24">
        <v>38062</v>
      </c>
      <c r="U14" s="21">
        <v>2695</v>
      </c>
      <c r="V14" s="24">
        <v>400759</v>
      </c>
      <c r="W14" s="21">
        <v>9483</v>
      </c>
      <c r="X14" s="24">
        <v>327673</v>
      </c>
      <c r="Y14" s="21">
        <v>196</v>
      </c>
      <c r="Z14" s="24">
        <v>342030</v>
      </c>
      <c r="AA14" s="67">
        <v>5560</v>
      </c>
      <c r="AB14" s="66">
        <v>742177</v>
      </c>
    </row>
    <row r="15" spans="1:28" s="48" customFormat="1" ht="18.75" customHeight="1">
      <c r="A15" s="19" t="s">
        <v>62</v>
      </c>
      <c r="B15" s="86" t="s">
        <v>13</v>
      </c>
      <c r="C15" s="21">
        <v>130571</v>
      </c>
      <c r="D15" s="43">
        <v>12777794</v>
      </c>
      <c r="E15" s="64">
        <v>56430</v>
      </c>
      <c r="F15" s="22">
        <v>3445393</v>
      </c>
      <c r="G15" s="23">
        <v>5709</v>
      </c>
      <c r="H15" s="24">
        <v>1339390</v>
      </c>
      <c r="I15" s="65">
        <v>23207</v>
      </c>
      <c r="J15" s="66">
        <v>2204697</v>
      </c>
      <c r="K15" s="23">
        <v>8431</v>
      </c>
      <c r="L15" s="24">
        <v>1895592</v>
      </c>
      <c r="M15" s="21">
        <v>610</v>
      </c>
      <c r="N15" s="24">
        <v>220837</v>
      </c>
      <c r="O15" s="23">
        <v>431</v>
      </c>
      <c r="P15" s="24">
        <v>285937</v>
      </c>
      <c r="Q15" s="21">
        <v>166</v>
      </c>
      <c r="R15" s="24">
        <v>212345</v>
      </c>
      <c r="S15" s="23">
        <v>36</v>
      </c>
      <c r="T15" s="24">
        <v>22854</v>
      </c>
      <c r="U15" s="21">
        <v>9317</v>
      </c>
      <c r="V15" s="24">
        <v>791049</v>
      </c>
      <c r="W15" s="21">
        <v>20523</v>
      </c>
      <c r="X15" s="24">
        <v>1040849</v>
      </c>
      <c r="Y15" s="21">
        <v>120</v>
      </c>
      <c r="Z15" s="24">
        <v>176301</v>
      </c>
      <c r="AA15" s="67">
        <v>5591</v>
      </c>
      <c r="AB15" s="66">
        <v>1142550</v>
      </c>
    </row>
    <row r="16" spans="1:28" s="48" customFormat="1" ht="18.75" customHeight="1">
      <c r="A16" s="19" t="s">
        <v>61</v>
      </c>
      <c r="B16" s="86" t="s">
        <v>13</v>
      </c>
      <c r="C16" s="21">
        <v>114977</v>
      </c>
      <c r="D16" s="43">
        <v>12142655</v>
      </c>
      <c r="E16" s="64">
        <v>50726</v>
      </c>
      <c r="F16" s="22">
        <v>3216817</v>
      </c>
      <c r="G16" s="23">
        <v>6020</v>
      </c>
      <c r="H16" s="24">
        <v>1732939</v>
      </c>
      <c r="I16" s="65">
        <v>7166</v>
      </c>
      <c r="J16" s="66">
        <v>1226828</v>
      </c>
      <c r="K16" s="23">
        <v>8254</v>
      </c>
      <c r="L16" s="24">
        <v>2031081</v>
      </c>
      <c r="M16" s="21">
        <v>527</v>
      </c>
      <c r="N16" s="24">
        <v>210163</v>
      </c>
      <c r="O16" s="23">
        <v>151</v>
      </c>
      <c r="P16" s="24">
        <v>89239</v>
      </c>
      <c r="Q16" s="21">
        <v>177</v>
      </c>
      <c r="R16" s="24">
        <v>266286</v>
      </c>
      <c r="S16" s="23">
        <v>3</v>
      </c>
      <c r="T16" s="24">
        <v>1554</v>
      </c>
      <c r="U16" s="21">
        <v>10815</v>
      </c>
      <c r="V16" s="24">
        <v>721345</v>
      </c>
      <c r="W16" s="21">
        <v>28805</v>
      </c>
      <c r="X16" s="24">
        <v>1738868</v>
      </c>
      <c r="Y16" s="21">
        <v>252</v>
      </c>
      <c r="Z16" s="24">
        <v>301961</v>
      </c>
      <c r="AA16" s="67">
        <v>2081</v>
      </c>
      <c r="AB16" s="66">
        <v>605574</v>
      </c>
    </row>
    <row r="17" spans="1:28" s="82" customFormat="1" ht="18" customHeight="1">
      <c r="A17" s="19" t="s">
        <v>60</v>
      </c>
      <c r="B17" s="86" t="s">
        <v>13</v>
      </c>
      <c r="C17" s="21">
        <v>114207</v>
      </c>
      <c r="D17" s="43">
        <v>10099229</v>
      </c>
      <c r="E17" s="64">
        <v>39487</v>
      </c>
      <c r="F17" s="22">
        <v>2296624</v>
      </c>
      <c r="G17" s="23">
        <v>6378</v>
      </c>
      <c r="H17" s="24">
        <v>1563395</v>
      </c>
      <c r="I17" s="65">
        <v>5659</v>
      </c>
      <c r="J17" s="66">
        <v>1004696</v>
      </c>
      <c r="K17" s="23">
        <v>1468</v>
      </c>
      <c r="L17" s="24">
        <v>728045</v>
      </c>
      <c r="M17" s="21">
        <v>526</v>
      </c>
      <c r="N17" s="24">
        <v>230714</v>
      </c>
      <c r="O17" s="23">
        <v>138</v>
      </c>
      <c r="P17" s="24">
        <v>81800</v>
      </c>
      <c r="Q17" s="21">
        <v>117</v>
      </c>
      <c r="R17" s="24">
        <v>193017</v>
      </c>
      <c r="S17" s="23">
        <v>1</v>
      </c>
      <c r="T17" s="24">
        <v>984</v>
      </c>
      <c r="U17" s="21">
        <v>6661</v>
      </c>
      <c r="V17" s="24">
        <v>761320</v>
      </c>
      <c r="W17" s="21">
        <v>49471</v>
      </c>
      <c r="X17" s="24">
        <v>2096873</v>
      </c>
      <c r="Y17" s="21">
        <v>170</v>
      </c>
      <c r="Z17" s="24">
        <v>290996</v>
      </c>
      <c r="AA17" s="67">
        <v>4131</v>
      </c>
      <c r="AB17" s="66">
        <v>850765</v>
      </c>
    </row>
    <row r="18" spans="1:28" s="82" customFormat="1" ht="18" customHeight="1">
      <c r="A18" s="19" t="s">
        <v>59</v>
      </c>
      <c r="B18" s="86" t="s">
        <v>13</v>
      </c>
      <c r="C18" s="21">
        <v>139678</v>
      </c>
      <c r="D18" s="43">
        <v>10203667</v>
      </c>
      <c r="E18" s="38">
        <v>41087</v>
      </c>
      <c r="F18" s="22">
        <v>2165141</v>
      </c>
      <c r="G18" s="23">
        <v>7404</v>
      </c>
      <c r="H18" s="24">
        <v>1918351</v>
      </c>
      <c r="I18" s="65">
        <v>2740</v>
      </c>
      <c r="J18" s="66">
        <v>826415</v>
      </c>
      <c r="K18" s="23">
        <v>45</v>
      </c>
      <c r="L18" s="24">
        <v>13887</v>
      </c>
      <c r="M18" s="21">
        <v>665</v>
      </c>
      <c r="N18" s="24">
        <v>225402</v>
      </c>
      <c r="O18" s="23">
        <v>79</v>
      </c>
      <c r="P18" s="24">
        <v>51109</v>
      </c>
      <c r="Q18" s="21">
        <v>131</v>
      </c>
      <c r="R18" s="24">
        <v>256582</v>
      </c>
      <c r="S18" s="78">
        <v>0</v>
      </c>
      <c r="T18" s="24">
        <v>129</v>
      </c>
      <c r="U18" s="21">
        <v>7653</v>
      </c>
      <c r="V18" s="24">
        <v>659566</v>
      </c>
      <c r="W18" s="21">
        <v>76793</v>
      </c>
      <c r="X18" s="24">
        <v>3170909</v>
      </c>
      <c r="Y18" s="21">
        <v>100</v>
      </c>
      <c r="Z18" s="24">
        <v>204717</v>
      </c>
      <c r="AA18" s="67">
        <v>2981</v>
      </c>
      <c r="AB18" s="66">
        <v>711459</v>
      </c>
    </row>
    <row r="19" spans="1:28" s="82" customFormat="1" ht="18" customHeight="1">
      <c r="A19" s="19" t="s">
        <v>72</v>
      </c>
      <c r="B19" s="86" t="s">
        <v>13</v>
      </c>
      <c r="C19" s="21">
        <v>121878</v>
      </c>
      <c r="D19" s="43">
        <v>8238832</v>
      </c>
      <c r="E19" s="38">
        <v>31514</v>
      </c>
      <c r="F19" s="22">
        <v>2021680</v>
      </c>
      <c r="G19" s="23">
        <v>5258</v>
      </c>
      <c r="H19" s="24">
        <v>1205230</v>
      </c>
      <c r="I19" s="65">
        <v>5389</v>
      </c>
      <c r="J19" s="66">
        <v>895034</v>
      </c>
      <c r="K19" s="23">
        <v>117</v>
      </c>
      <c r="L19" s="24">
        <v>50272</v>
      </c>
      <c r="M19" s="21">
        <v>698</v>
      </c>
      <c r="N19" s="24">
        <v>206921</v>
      </c>
      <c r="O19" s="23">
        <v>103</v>
      </c>
      <c r="P19" s="24">
        <v>57670</v>
      </c>
      <c r="Q19" s="21">
        <v>92</v>
      </c>
      <c r="R19" s="24">
        <v>167817</v>
      </c>
      <c r="S19" s="23">
        <v>12</v>
      </c>
      <c r="T19" s="24">
        <v>1580</v>
      </c>
      <c r="U19" s="21">
        <v>1360</v>
      </c>
      <c r="V19" s="24">
        <v>209669</v>
      </c>
      <c r="W19" s="21">
        <v>72696</v>
      </c>
      <c r="X19" s="24">
        <v>2474585</v>
      </c>
      <c r="Y19" s="21">
        <v>144</v>
      </c>
      <c r="Z19" s="24">
        <v>154433</v>
      </c>
      <c r="AA19" s="67">
        <v>4495</v>
      </c>
      <c r="AB19" s="66">
        <v>793941</v>
      </c>
    </row>
    <row r="20" spans="1:28" s="82" customFormat="1" ht="18" customHeight="1">
      <c r="A20" s="19" t="s">
        <v>93</v>
      </c>
      <c r="B20" s="86" t="s">
        <v>13</v>
      </c>
      <c r="C20" s="21">
        <v>172268</v>
      </c>
      <c r="D20" s="43">
        <v>8330487</v>
      </c>
      <c r="E20" s="38">
        <v>30987</v>
      </c>
      <c r="F20" s="22">
        <v>1780141</v>
      </c>
      <c r="G20" s="23">
        <v>6024</v>
      </c>
      <c r="H20" s="24">
        <v>1196731</v>
      </c>
      <c r="I20" s="65">
        <v>1279</v>
      </c>
      <c r="J20" s="66">
        <v>298619</v>
      </c>
      <c r="K20" s="23">
        <v>112</v>
      </c>
      <c r="L20" s="24">
        <v>58728</v>
      </c>
      <c r="M20" s="21">
        <v>591</v>
      </c>
      <c r="N20" s="24">
        <v>141378</v>
      </c>
      <c r="O20" s="23">
        <v>51</v>
      </c>
      <c r="P20" s="24">
        <v>31680</v>
      </c>
      <c r="Q20" s="21">
        <v>95</v>
      </c>
      <c r="R20" s="24">
        <v>172561</v>
      </c>
      <c r="S20" s="80">
        <v>35</v>
      </c>
      <c r="T20" s="24">
        <v>16181</v>
      </c>
      <c r="U20" s="21">
        <v>423</v>
      </c>
      <c r="V20" s="24">
        <v>56195</v>
      </c>
      <c r="W20" s="21">
        <v>129235</v>
      </c>
      <c r="X20" s="24">
        <v>3852515</v>
      </c>
      <c r="Y20" s="21">
        <v>63</v>
      </c>
      <c r="Z20" s="24">
        <v>92086</v>
      </c>
      <c r="AA20" s="67">
        <v>3373</v>
      </c>
      <c r="AB20" s="66">
        <v>633672</v>
      </c>
    </row>
    <row r="21" spans="1:28" s="6" customFormat="1" ht="16.5" customHeight="1">
      <c r="A21" s="19" t="s">
        <v>94</v>
      </c>
      <c r="B21" s="86" t="s">
        <v>13</v>
      </c>
      <c r="C21" s="21">
        <v>191635</v>
      </c>
      <c r="D21" s="43">
        <v>8227253</v>
      </c>
      <c r="E21" s="64">
        <v>39446</v>
      </c>
      <c r="F21" s="24">
        <v>1736823</v>
      </c>
      <c r="G21" s="21">
        <v>6299</v>
      </c>
      <c r="H21" s="24">
        <v>1115469</v>
      </c>
      <c r="I21" s="21">
        <v>152</v>
      </c>
      <c r="J21" s="24">
        <v>64458</v>
      </c>
      <c r="K21" s="21">
        <v>502</v>
      </c>
      <c r="L21" s="24">
        <v>275387</v>
      </c>
      <c r="M21" s="21">
        <v>398</v>
      </c>
      <c r="N21" s="24">
        <v>128970</v>
      </c>
      <c r="O21" s="21">
        <v>22</v>
      </c>
      <c r="P21" s="24">
        <v>22091</v>
      </c>
      <c r="Q21" s="46">
        <v>50</v>
      </c>
      <c r="R21" s="24">
        <v>86691</v>
      </c>
      <c r="S21" s="46">
        <v>551</v>
      </c>
      <c r="T21" s="24">
        <v>66584</v>
      </c>
      <c r="U21" s="21">
        <v>230</v>
      </c>
      <c r="V21" s="24">
        <v>40765</v>
      </c>
      <c r="W21" s="21">
        <v>141983</v>
      </c>
      <c r="X21" s="24">
        <v>4167897</v>
      </c>
      <c r="Y21" s="21">
        <v>26</v>
      </c>
      <c r="Z21" s="24">
        <v>76352</v>
      </c>
      <c r="AA21" s="21">
        <v>1976</v>
      </c>
      <c r="AB21" s="24">
        <v>445766</v>
      </c>
    </row>
    <row r="22" spans="1:28" s="48" customFormat="1" ht="16.5" customHeight="1">
      <c r="A22" s="19" t="s">
        <v>95</v>
      </c>
      <c r="B22" s="86" t="s">
        <v>13</v>
      </c>
      <c r="C22" s="21">
        <v>204499</v>
      </c>
      <c r="D22" s="43">
        <v>8860949</v>
      </c>
      <c r="E22" s="38">
        <v>44724</v>
      </c>
      <c r="F22" s="22">
        <v>1959976</v>
      </c>
      <c r="G22" s="23">
        <v>6009</v>
      </c>
      <c r="H22" s="24">
        <v>1068581</v>
      </c>
      <c r="I22" s="21">
        <v>115</v>
      </c>
      <c r="J22" s="24">
        <v>55723</v>
      </c>
      <c r="K22" s="23">
        <v>41</v>
      </c>
      <c r="L22" s="24">
        <v>11631</v>
      </c>
      <c r="M22" s="21">
        <v>323</v>
      </c>
      <c r="N22" s="24">
        <v>117495</v>
      </c>
      <c r="O22" s="23">
        <v>48</v>
      </c>
      <c r="P22" s="24">
        <v>27934</v>
      </c>
      <c r="Q22" s="46">
        <v>77</v>
      </c>
      <c r="R22" s="24">
        <v>141900</v>
      </c>
      <c r="S22" s="45">
        <v>167</v>
      </c>
      <c r="T22" s="24">
        <v>35916</v>
      </c>
      <c r="U22" s="21">
        <v>51</v>
      </c>
      <c r="V22" s="24">
        <v>5330</v>
      </c>
      <c r="W22" s="23">
        <v>151099</v>
      </c>
      <c r="X22" s="24">
        <v>4881821</v>
      </c>
      <c r="Y22" s="21">
        <v>36</v>
      </c>
      <c r="Z22" s="24">
        <v>160333</v>
      </c>
      <c r="AA22" s="23">
        <v>1809</v>
      </c>
      <c r="AB22" s="24">
        <v>394309</v>
      </c>
    </row>
    <row r="23" spans="1:28" s="6" customFormat="1" ht="16.5" customHeight="1" thickBot="1">
      <c r="A23" s="13" t="s">
        <v>96</v>
      </c>
      <c r="B23" s="87" t="s">
        <v>13</v>
      </c>
      <c r="C23" s="15">
        <v>172554</v>
      </c>
      <c r="D23" s="42">
        <v>10537107</v>
      </c>
      <c r="E23" s="37">
        <v>28537</v>
      </c>
      <c r="F23" s="16">
        <v>1712118</v>
      </c>
      <c r="G23" s="17">
        <v>5669</v>
      </c>
      <c r="H23" s="18">
        <v>1319678</v>
      </c>
      <c r="I23" s="15">
        <v>25</v>
      </c>
      <c r="J23" s="18">
        <v>16589</v>
      </c>
      <c r="K23" s="17">
        <v>473</v>
      </c>
      <c r="L23" s="18">
        <v>386662</v>
      </c>
      <c r="M23" s="15">
        <v>481</v>
      </c>
      <c r="N23" s="18">
        <v>138507</v>
      </c>
      <c r="O23" s="17">
        <v>77</v>
      </c>
      <c r="P23" s="18">
        <v>44917</v>
      </c>
      <c r="Q23" s="47">
        <v>75</v>
      </c>
      <c r="R23" s="18">
        <v>137675</v>
      </c>
      <c r="S23" s="54">
        <v>23</v>
      </c>
      <c r="T23" s="18">
        <v>6190</v>
      </c>
      <c r="U23" s="15">
        <v>221</v>
      </c>
      <c r="V23" s="18">
        <v>12153</v>
      </c>
      <c r="W23" s="17">
        <v>134863</v>
      </c>
      <c r="X23" s="18">
        <v>6062404</v>
      </c>
      <c r="Y23" s="15">
        <v>47</v>
      </c>
      <c r="Z23" s="18">
        <v>178533</v>
      </c>
      <c r="AA23" s="17">
        <v>2063</v>
      </c>
      <c r="AB23" s="18">
        <v>521681</v>
      </c>
    </row>
    <row r="24" spans="1:28" s="6" customFormat="1" ht="16.5" customHeight="1" thickTop="1">
      <c r="A24" s="19" t="s">
        <v>96</v>
      </c>
      <c r="B24" s="20" t="s">
        <v>1</v>
      </c>
      <c r="C24" s="21">
        <v>3641</v>
      </c>
      <c r="D24" s="43">
        <v>303114</v>
      </c>
      <c r="E24" s="38">
        <v>3019</v>
      </c>
      <c r="F24" s="22">
        <v>167596</v>
      </c>
      <c r="G24" s="23">
        <v>512</v>
      </c>
      <c r="H24" s="24">
        <v>98840</v>
      </c>
      <c r="I24" s="21">
        <v>0</v>
      </c>
      <c r="J24" s="24">
        <v>0</v>
      </c>
      <c r="K24" s="23">
        <v>4</v>
      </c>
      <c r="L24" s="24">
        <v>1017</v>
      </c>
      <c r="M24" s="21">
        <v>30</v>
      </c>
      <c r="N24" s="24">
        <v>6402</v>
      </c>
      <c r="O24" s="23">
        <v>0</v>
      </c>
      <c r="P24" s="24">
        <v>0</v>
      </c>
      <c r="Q24" s="46">
        <v>1</v>
      </c>
      <c r="R24" s="24">
        <v>1851</v>
      </c>
      <c r="S24" s="45">
        <v>1</v>
      </c>
      <c r="T24" s="24">
        <v>401</v>
      </c>
      <c r="U24" s="21">
        <v>0</v>
      </c>
      <c r="V24" s="24">
        <v>0</v>
      </c>
      <c r="W24" s="23">
        <v>0</v>
      </c>
      <c r="X24" s="24">
        <v>0</v>
      </c>
      <c r="Y24" s="21">
        <v>0</v>
      </c>
      <c r="Z24" s="24">
        <v>0</v>
      </c>
      <c r="AA24" s="23">
        <v>74</v>
      </c>
      <c r="AB24" s="24">
        <v>27007</v>
      </c>
    </row>
    <row r="25" spans="1:28" s="6" customFormat="1" ht="16.5" customHeight="1">
      <c r="A25" s="19"/>
      <c r="B25" s="20" t="s">
        <v>2</v>
      </c>
      <c r="C25" s="21">
        <v>5763</v>
      </c>
      <c r="D25" s="43">
        <v>399781</v>
      </c>
      <c r="E25" s="38">
        <v>5304</v>
      </c>
      <c r="F25" s="22">
        <v>273119</v>
      </c>
      <c r="G25" s="23">
        <v>406</v>
      </c>
      <c r="H25" s="24">
        <v>107216</v>
      </c>
      <c r="I25" s="21">
        <v>0</v>
      </c>
      <c r="J25" s="24">
        <v>0</v>
      </c>
      <c r="K25" s="23">
        <v>4</v>
      </c>
      <c r="L25" s="24">
        <v>882</v>
      </c>
      <c r="M25" s="21">
        <v>22</v>
      </c>
      <c r="N25" s="24">
        <v>4931</v>
      </c>
      <c r="O25" s="23">
        <v>0</v>
      </c>
      <c r="P25" s="24">
        <v>0</v>
      </c>
      <c r="Q25" s="46">
        <v>2</v>
      </c>
      <c r="R25" s="24">
        <v>2627</v>
      </c>
      <c r="S25" s="45">
        <v>1</v>
      </c>
      <c r="T25" s="24">
        <v>586</v>
      </c>
      <c r="U25" s="21">
        <v>0</v>
      </c>
      <c r="V25" s="24">
        <v>0</v>
      </c>
      <c r="W25" s="23">
        <v>0</v>
      </c>
      <c r="X25" s="24">
        <v>0</v>
      </c>
      <c r="Y25" s="21">
        <v>0</v>
      </c>
      <c r="Z25" s="24">
        <v>0</v>
      </c>
      <c r="AA25" s="23">
        <v>24</v>
      </c>
      <c r="AB25" s="24">
        <v>10420</v>
      </c>
    </row>
    <row r="26" spans="1:28" s="6" customFormat="1" ht="16.5" customHeight="1">
      <c r="A26" s="19"/>
      <c r="B26" s="20" t="s">
        <v>3</v>
      </c>
      <c r="C26" s="21">
        <v>4933</v>
      </c>
      <c r="D26" s="43">
        <v>373979</v>
      </c>
      <c r="E26" s="38">
        <v>4321</v>
      </c>
      <c r="F26" s="22">
        <v>210325</v>
      </c>
      <c r="G26" s="23">
        <v>539</v>
      </c>
      <c r="H26" s="24">
        <v>135349</v>
      </c>
      <c r="I26" s="21">
        <v>0</v>
      </c>
      <c r="J26" s="24">
        <v>0</v>
      </c>
      <c r="K26" s="23">
        <v>3</v>
      </c>
      <c r="L26" s="24">
        <v>646</v>
      </c>
      <c r="M26" s="21">
        <v>34</v>
      </c>
      <c r="N26" s="24">
        <v>8614</v>
      </c>
      <c r="O26" s="23">
        <v>0</v>
      </c>
      <c r="P26" s="24">
        <v>0</v>
      </c>
      <c r="Q26" s="21">
        <v>4</v>
      </c>
      <c r="R26" s="24">
        <v>5697</v>
      </c>
      <c r="S26" s="78">
        <v>5</v>
      </c>
      <c r="T26" s="24">
        <v>2346</v>
      </c>
      <c r="U26" s="21">
        <v>0</v>
      </c>
      <c r="V26" s="24">
        <v>0</v>
      </c>
      <c r="W26" s="23">
        <v>0</v>
      </c>
      <c r="X26" s="24">
        <v>0</v>
      </c>
      <c r="Y26" s="21">
        <v>0</v>
      </c>
      <c r="Z26" s="24">
        <v>0</v>
      </c>
      <c r="AA26" s="23">
        <v>27</v>
      </c>
      <c r="AB26" s="24">
        <v>11002</v>
      </c>
    </row>
    <row r="27" spans="1:28" s="6" customFormat="1" ht="16.5" customHeight="1">
      <c r="A27" s="19"/>
      <c r="B27" s="20" t="s">
        <v>4</v>
      </c>
      <c r="C27" s="21">
        <v>1646</v>
      </c>
      <c r="D27" s="43">
        <v>215543</v>
      </c>
      <c r="E27" s="38">
        <v>887</v>
      </c>
      <c r="F27" s="22">
        <v>47913</v>
      </c>
      <c r="G27" s="23">
        <v>625</v>
      </c>
      <c r="H27" s="24">
        <v>125969</v>
      </c>
      <c r="I27" s="68">
        <v>0</v>
      </c>
      <c r="J27" s="69">
        <v>0</v>
      </c>
      <c r="K27" s="23">
        <v>3</v>
      </c>
      <c r="L27" s="24">
        <v>797</v>
      </c>
      <c r="M27" s="21">
        <v>35</v>
      </c>
      <c r="N27" s="24">
        <v>6576</v>
      </c>
      <c r="O27" s="23">
        <v>0</v>
      </c>
      <c r="P27" s="24">
        <v>0</v>
      </c>
      <c r="Q27" s="21">
        <v>8</v>
      </c>
      <c r="R27" s="24">
        <v>13388</v>
      </c>
      <c r="S27" s="78">
        <v>2</v>
      </c>
      <c r="T27" s="24">
        <v>427</v>
      </c>
      <c r="U27" s="68">
        <v>0</v>
      </c>
      <c r="V27" s="69">
        <v>0</v>
      </c>
      <c r="W27" s="70">
        <v>0</v>
      </c>
      <c r="X27" s="69">
        <v>0</v>
      </c>
      <c r="Y27" s="68">
        <v>0</v>
      </c>
      <c r="Z27" s="69">
        <v>0</v>
      </c>
      <c r="AA27" s="23">
        <v>86</v>
      </c>
      <c r="AB27" s="24">
        <v>20473</v>
      </c>
    </row>
    <row r="28" spans="1:28" s="6" customFormat="1" ht="16.5" customHeight="1">
      <c r="A28" s="19"/>
      <c r="B28" s="20" t="s">
        <v>5</v>
      </c>
      <c r="C28" s="21">
        <v>2439</v>
      </c>
      <c r="D28" s="43">
        <v>386682</v>
      </c>
      <c r="E28" s="38">
        <v>1093</v>
      </c>
      <c r="F28" s="22">
        <v>58510</v>
      </c>
      <c r="G28" s="23">
        <v>970</v>
      </c>
      <c r="H28" s="24">
        <v>227455</v>
      </c>
      <c r="I28" s="21">
        <v>0</v>
      </c>
      <c r="J28" s="24">
        <v>0</v>
      </c>
      <c r="K28" s="23">
        <v>4</v>
      </c>
      <c r="L28" s="24">
        <v>980</v>
      </c>
      <c r="M28" s="21">
        <v>29</v>
      </c>
      <c r="N28" s="24">
        <v>6007</v>
      </c>
      <c r="O28" s="23">
        <v>28</v>
      </c>
      <c r="P28" s="24">
        <v>17191</v>
      </c>
      <c r="Q28" s="21">
        <v>11</v>
      </c>
      <c r="R28" s="24">
        <v>17664</v>
      </c>
      <c r="S28" s="78">
        <v>7</v>
      </c>
      <c r="T28" s="24">
        <v>733</v>
      </c>
      <c r="U28" s="68">
        <v>0</v>
      </c>
      <c r="V28" s="24">
        <v>0</v>
      </c>
      <c r="W28" s="23">
        <v>0</v>
      </c>
      <c r="X28" s="24">
        <v>0</v>
      </c>
      <c r="Y28" s="21">
        <v>0</v>
      </c>
      <c r="Z28" s="24">
        <v>0</v>
      </c>
      <c r="AA28" s="23">
        <v>297</v>
      </c>
      <c r="AB28" s="24">
        <v>58142</v>
      </c>
    </row>
    <row r="29" spans="1:28" s="6" customFormat="1" ht="16.5" customHeight="1">
      <c r="A29" s="19"/>
      <c r="B29" s="20" t="s">
        <v>6</v>
      </c>
      <c r="C29" s="21">
        <v>4191</v>
      </c>
      <c r="D29" s="43">
        <v>243348</v>
      </c>
      <c r="E29" s="38">
        <v>99</v>
      </c>
      <c r="F29" s="22">
        <v>5266</v>
      </c>
      <c r="G29" s="23">
        <v>27</v>
      </c>
      <c r="H29" s="24">
        <v>9329</v>
      </c>
      <c r="I29" s="21">
        <v>0</v>
      </c>
      <c r="J29" s="24">
        <v>0</v>
      </c>
      <c r="K29" s="45">
        <v>0</v>
      </c>
      <c r="L29" s="24">
        <v>33</v>
      </c>
      <c r="M29" s="21">
        <v>13</v>
      </c>
      <c r="N29" s="24">
        <v>2668</v>
      </c>
      <c r="O29" s="23">
        <v>48</v>
      </c>
      <c r="P29" s="24">
        <v>27589</v>
      </c>
      <c r="Q29" s="53">
        <v>2</v>
      </c>
      <c r="R29" s="24">
        <v>4247</v>
      </c>
      <c r="S29" s="95">
        <v>0</v>
      </c>
      <c r="T29" s="24">
        <v>43</v>
      </c>
      <c r="U29" s="68">
        <v>0</v>
      </c>
      <c r="V29" s="24">
        <v>0</v>
      </c>
      <c r="W29" s="23">
        <v>3892</v>
      </c>
      <c r="X29" s="24">
        <v>163313</v>
      </c>
      <c r="Y29" s="21">
        <v>0</v>
      </c>
      <c r="Z29" s="24">
        <v>0</v>
      </c>
      <c r="AA29" s="23">
        <v>110</v>
      </c>
      <c r="AB29" s="24">
        <v>30860</v>
      </c>
    </row>
    <row r="30" spans="1:28" s="6" customFormat="1" ht="16.5" customHeight="1">
      <c r="A30" s="19"/>
      <c r="B30" s="20" t="s">
        <v>7</v>
      </c>
      <c r="C30" s="21">
        <v>35649</v>
      </c>
      <c r="D30" s="43">
        <v>1450656</v>
      </c>
      <c r="E30" s="38">
        <v>23</v>
      </c>
      <c r="F30" s="22">
        <v>799</v>
      </c>
      <c r="G30" s="23">
        <v>15</v>
      </c>
      <c r="H30" s="24">
        <v>3975</v>
      </c>
      <c r="I30" s="78">
        <v>0</v>
      </c>
      <c r="J30" s="24">
        <v>167</v>
      </c>
      <c r="K30" s="78">
        <v>0</v>
      </c>
      <c r="L30" s="24">
        <v>1</v>
      </c>
      <c r="M30" s="21">
        <v>10</v>
      </c>
      <c r="N30" s="24">
        <v>2778</v>
      </c>
      <c r="O30" s="23">
        <v>0</v>
      </c>
      <c r="P30" s="24">
        <v>0</v>
      </c>
      <c r="Q30" s="21">
        <v>2</v>
      </c>
      <c r="R30" s="24">
        <v>5481</v>
      </c>
      <c r="S30" s="95">
        <v>0</v>
      </c>
      <c r="T30" s="24">
        <v>9</v>
      </c>
      <c r="U30" s="21">
        <v>0</v>
      </c>
      <c r="V30" s="24">
        <v>0</v>
      </c>
      <c r="W30" s="21">
        <v>35535</v>
      </c>
      <c r="X30" s="24">
        <v>1416345</v>
      </c>
      <c r="Y30" s="21">
        <v>0</v>
      </c>
      <c r="Z30" s="24">
        <v>0</v>
      </c>
      <c r="AA30" s="23">
        <v>64</v>
      </c>
      <c r="AB30" s="24">
        <v>21101</v>
      </c>
    </row>
    <row r="31" spans="1:28" s="6" customFormat="1" ht="16.5" customHeight="1">
      <c r="A31" s="19"/>
      <c r="B31" s="20" t="s">
        <v>8</v>
      </c>
      <c r="C31" s="21">
        <v>13734</v>
      </c>
      <c r="D31" s="43">
        <v>617946</v>
      </c>
      <c r="E31" s="38">
        <v>6</v>
      </c>
      <c r="F31" s="22">
        <v>214</v>
      </c>
      <c r="G31" s="23">
        <v>2</v>
      </c>
      <c r="H31" s="24">
        <v>1049</v>
      </c>
      <c r="I31" s="21">
        <v>0</v>
      </c>
      <c r="J31" s="24">
        <v>0</v>
      </c>
      <c r="K31" s="78">
        <v>0</v>
      </c>
      <c r="L31" s="24">
        <v>135</v>
      </c>
      <c r="M31" s="21">
        <v>1</v>
      </c>
      <c r="N31" s="24">
        <v>365</v>
      </c>
      <c r="O31" s="23">
        <v>0</v>
      </c>
      <c r="P31" s="24">
        <v>0</v>
      </c>
      <c r="Q31" s="21">
        <v>2</v>
      </c>
      <c r="R31" s="24">
        <v>4228</v>
      </c>
      <c r="S31" s="95">
        <v>0</v>
      </c>
      <c r="T31" s="22">
        <v>26</v>
      </c>
      <c r="U31" s="68">
        <v>220</v>
      </c>
      <c r="V31" s="24">
        <v>12148</v>
      </c>
      <c r="W31" s="23">
        <v>13468</v>
      </c>
      <c r="X31" s="24">
        <v>585585</v>
      </c>
      <c r="Y31" s="21">
        <v>0</v>
      </c>
      <c r="Z31" s="24">
        <v>0</v>
      </c>
      <c r="AA31" s="23">
        <v>35</v>
      </c>
      <c r="AB31" s="24">
        <v>14196</v>
      </c>
    </row>
    <row r="32" spans="1:28" s="6" customFormat="1" ht="16.5" customHeight="1">
      <c r="A32" s="19"/>
      <c r="B32" s="20" t="s">
        <v>9</v>
      </c>
      <c r="C32" s="21">
        <v>44897</v>
      </c>
      <c r="D32" s="43">
        <v>2594213</v>
      </c>
      <c r="E32" s="38">
        <v>4823</v>
      </c>
      <c r="F32" s="22">
        <v>279733</v>
      </c>
      <c r="G32" s="23">
        <v>300</v>
      </c>
      <c r="H32" s="24">
        <v>121871</v>
      </c>
      <c r="I32" s="78">
        <v>0</v>
      </c>
      <c r="J32" s="24">
        <v>139</v>
      </c>
      <c r="K32" s="23">
        <v>284</v>
      </c>
      <c r="L32" s="24">
        <v>230422</v>
      </c>
      <c r="M32" s="21">
        <v>136</v>
      </c>
      <c r="N32" s="24">
        <v>30133</v>
      </c>
      <c r="O32" s="78">
        <v>0</v>
      </c>
      <c r="P32" s="24">
        <v>84</v>
      </c>
      <c r="Q32" s="21">
        <v>13</v>
      </c>
      <c r="R32" s="24">
        <v>27044</v>
      </c>
      <c r="S32" s="80">
        <v>4</v>
      </c>
      <c r="T32" s="22">
        <v>1206</v>
      </c>
      <c r="U32" s="68">
        <v>0</v>
      </c>
      <c r="V32" s="24">
        <v>0</v>
      </c>
      <c r="W32" s="23">
        <v>38827</v>
      </c>
      <c r="X32" s="24">
        <v>1721267</v>
      </c>
      <c r="Y32" s="80">
        <v>0</v>
      </c>
      <c r="Z32" s="24">
        <v>47</v>
      </c>
      <c r="AA32" s="23">
        <v>510</v>
      </c>
      <c r="AB32" s="24">
        <v>182267</v>
      </c>
    </row>
    <row r="33" spans="1:28" s="6" customFormat="1" ht="16.5" customHeight="1">
      <c r="A33" s="19"/>
      <c r="B33" s="20" t="s">
        <v>10</v>
      </c>
      <c r="C33" s="21">
        <v>45905</v>
      </c>
      <c r="D33" s="43">
        <v>2690545</v>
      </c>
      <c r="E33" s="38">
        <v>2892</v>
      </c>
      <c r="F33" s="22">
        <v>188061</v>
      </c>
      <c r="G33" s="23">
        <v>324</v>
      </c>
      <c r="H33" s="24">
        <v>84388</v>
      </c>
      <c r="I33" s="21">
        <v>24</v>
      </c>
      <c r="J33" s="24">
        <v>16283</v>
      </c>
      <c r="K33" s="23">
        <v>161</v>
      </c>
      <c r="L33" s="24">
        <v>148516</v>
      </c>
      <c r="M33" s="21">
        <v>100</v>
      </c>
      <c r="N33" s="24">
        <v>26024</v>
      </c>
      <c r="O33" s="78">
        <v>0</v>
      </c>
      <c r="P33" s="24">
        <v>53</v>
      </c>
      <c r="Q33" s="21">
        <v>12</v>
      </c>
      <c r="R33" s="24">
        <v>20599</v>
      </c>
      <c r="S33" s="80">
        <v>1</v>
      </c>
      <c r="T33" s="24">
        <v>342</v>
      </c>
      <c r="U33" s="46">
        <v>0</v>
      </c>
      <c r="V33" s="24">
        <v>4</v>
      </c>
      <c r="W33" s="23">
        <v>42008</v>
      </c>
      <c r="X33" s="24">
        <v>2115339</v>
      </c>
      <c r="Y33" s="21">
        <v>5</v>
      </c>
      <c r="Z33" s="22">
        <v>21351</v>
      </c>
      <c r="AA33" s="23">
        <v>378</v>
      </c>
      <c r="AB33" s="24">
        <v>69585</v>
      </c>
    </row>
    <row r="34" spans="1:28" s="6" customFormat="1" ht="16.5" customHeight="1">
      <c r="A34" s="19"/>
      <c r="B34" s="20" t="s">
        <v>11</v>
      </c>
      <c r="C34" s="21">
        <v>6295</v>
      </c>
      <c r="D34" s="43">
        <v>769799</v>
      </c>
      <c r="E34" s="38">
        <v>3445</v>
      </c>
      <c r="F34" s="22">
        <v>261692</v>
      </c>
      <c r="G34" s="23">
        <v>1249</v>
      </c>
      <c r="H34" s="24">
        <v>209922</v>
      </c>
      <c r="I34" s="21">
        <v>0</v>
      </c>
      <c r="J34" s="24">
        <v>0</v>
      </c>
      <c r="K34" s="23">
        <v>6</v>
      </c>
      <c r="L34" s="24">
        <v>2207</v>
      </c>
      <c r="M34" s="21">
        <v>33</v>
      </c>
      <c r="N34" s="24">
        <v>19685</v>
      </c>
      <c r="O34" s="23">
        <v>0</v>
      </c>
      <c r="P34" s="24">
        <v>0</v>
      </c>
      <c r="Q34" s="21">
        <v>13</v>
      </c>
      <c r="R34" s="24">
        <v>23590</v>
      </c>
      <c r="S34" s="78">
        <v>0</v>
      </c>
      <c r="T34" s="24">
        <v>43</v>
      </c>
      <c r="U34" s="78">
        <v>0</v>
      </c>
      <c r="V34" s="24">
        <v>1</v>
      </c>
      <c r="W34" s="23">
        <v>1133</v>
      </c>
      <c r="X34" s="24">
        <v>60554</v>
      </c>
      <c r="Y34" s="21">
        <v>41</v>
      </c>
      <c r="Z34" s="24">
        <v>157136</v>
      </c>
      <c r="AA34" s="23">
        <v>375</v>
      </c>
      <c r="AB34" s="24">
        <v>34969</v>
      </c>
    </row>
    <row r="35" spans="1:28" s="6" customFormat="1" ht="16.5" customHeight="1">
      <c r="A35" s="25"/>
      <c r="B35" s="26" t="s">
        <v>12</v>
      </c>
      <c r="C35" s="33">
        <v>3459</v>
      </c>
      <c r="D35" s="44">
        <v>491502</v>
      </c>
      <c r="E35" s="39">
        <v>2626</v>
      </c>
      <c r="F35" s="34">
        <v>218889</v>
      </c>
      <c r="G35" s="31">
        <v>700</v>
      </c>
      <c r="H35" s="32">
        <v>194315</v>
      </c>
      <c r="I35" s="33">
        <v>0</v>
      </c>
      <c r="J35" s="32">
        <v>0</v>
      </c>
      <c r="K35" s="31">
        <v>4</v>
      </c>
      <c r="L35" s="32">
        <v>1025</v>
      </c>
      <c r="M35" s="33">
        <v>39</v>
      </c>
      <c r="N35" s="32">
        <v>24325</v>
      </c>
      <c r="O35" s="31">
        <v>0</v>
      </c>
      <c r="P35" s="32">
        <v>0</v>
      </c>
      <c r="Q35" s="33">
        <v>5</v>
      </c>
      <c r="R35" s="32">
        <v>11259</v>
      </c>
      <c r="S35" s="79">
        <v>0</v>
      </c>
      <c r="T35" s="32">
        <v>28</v>
      </c>
      <c r="U35" s="33">
        <v>0</v>
      </c>
      <c r="V35" s="32">
        <v>0</v>
      </c>
      <c r="W35" s="33">
        <v>0</v>
      </c>
      <c r="X35" s="32">
        <v>0</v>
      </c>
      <c r="Y35" s="33">
        <v>0</v>
      </c>
      <c r="Z35" s="32">
        <v>0</v>
      </c>
      <c r="AA35" s="31">
        <v>85</v>
      </c>
      <c r="AB35" s="32">
        <v>41661</v>
      </c>
    </row>
    <row r="36" spans="1:28" s="6" customFormat="1" ht="16.5" customHeight="1">
      <c r="A36" s="19" t="s">
        <v>100</v>
      </c>
      <c r="B36" s="20" t="s">
        <v>1</v>
      </c>
      <c r="C36" s="21">
        <v>2397</v>
      </c>
      <c r="D36" s="43">
        <v>300613</v>
      </c>
      <c r="E36" s="38">
        <v>1596</v>
      </c>
      <c r="F36" s="22">
        <v>128186</v>
      </c>
      <c r="G36" s="23">
        <v>637</v>
      </c>
      <c r="H36" s="24">
        <v>109706</v>
      </c>
      <c r="I36" s="21">
        <v>0</v>
      </c>
      <c r="J36" s="24">
        <v>0</v>
      </c>
      <c r="K36" s="23">
        <v>5</v>
      </c>
      <c r="L36" s="24">
        <v>1407</v>
      </c>
      <c r="M36" s="21">
        <v>80</v>
      </c>
      <c r="N36" s="24">
        <v>12848</v>
      </c>
      <c r="O36" s="23">
        <v>0</v>
      </c>
      <c r="P36" s="24">
        <v>0</v>
      </c>
      <c r="Q36" s="46">
        <v>4</v>
      </c>
      <c r="R36" s="24">
        <v>8491</v>
      </c>
      <c r="S36" s="45">
        <v>0</v>
      </c>
      <c r="T36" s="24">
        <v>31</v>
      </c>
      <c r="U36" s="21">
        <v>0</v>
      </c>
      <c r="V36" s="24">
        <v>0</v>
      </c>
      <c r="W36" s="21">
        <v>0</v>
      </c>
      <c r="X36" s="24">
        <v>0</v>
      </c>
      <c r="Y36" s="21">
        <v>0</v>
      </c>
      <c r="Z36" s="24">
        <v>0</v>
      </c>
      <c r="AA36" s="23">
        <v>75</v>
      </c>
      <c r="AB36" s="24">
        <v>39944</v>
      </c>
    </row>
    <row r="37" spans="1:28" s="6" customFormat="1" ht="16.5" customHeight="1">
      <c r="A37" s="19"/>
      <c r="B37" s="20" t="s">
        <v>2</v>
      </c>
      <c r="C37" s="21">
        <v>3084</v>
      </c>
      <c r="D37" s="43">
        <v>342080</v>
      </c>
      <c r="E37" s="38">
        <v>1948</v>
      </c>
      <c r="F37" s="22">
        <v>145080</v>
      </c>
      <c r="G37" s="23">
        <v>625</v>
      </c>
      <c r="H37" s="24">
        <v>113092</v>
      </c>
      <c r="I37" s="21">
        <v>0</v>
      </c>
      <c r="J37" s="24">
        <v>0</v>
      </c>
      <c r="K37" s="23">
        <v>6</v>
      </c>
      <c r="L37" s="24">
        <v>1373</v>
      </c>
      <c r="M37" s="21">
        <v>381</v>
      </c>
      <c r="N37" s="24">
        <v>39552</v>
      </c>
      <c r="O37" s="23">
        <v>0</v>
      </c>
      <c r="P37" s="24">
        <v>0</v>
      </c>
      <c r="Q37" s="46">
        <v>6</v>
      </c>
      <c r="R37" s="24">
        <v>12404</v>
      </c>
      <c r="S37" s="45">
        <v>0</v>
      </c>
      <c r="T37" s="24">
        <v>154</v>
      </c>
      <c r="U37" s="21">
        <v>0</v>
      </c>
      <c r="V37" s="24">
        <v>0</v>
      </c>
      <c r="W37" s="23">
        <v>0</v>
      </c>
      <c r="X37" s="24">
        <v>0</v>
      </c>
      <c r="Y37" s="21">
        <v>0</v>
      </c>
      <c r="Z37" s="24">
        <v>0</v>
      </c>
      <c r="AA37" s="23">
        <v>118</v>
      </c>
      <c r="AB37" s="24">
        <v>30425</v>
      </c>
    </row>
    <row r="38" spans="1:28" s="6" customFormat="1" ht="16.5" customHeight="1">
      <c r="A38" s="19"/>
      <c r="B38" s="20" t="s">
        <v>3</v>
      </c>
      <c r="C38" s="21">
        <v>2161</v>
      </c>
      <c r="D38" s="43">
        <v>274415</v>
      </c>
      <c r="E38" s="38">
        <v>509</v>
      </c>
      <c r="F38" s="22">
        <v>42815</v>
      </c>
      <c r="G38" s="23">
        <v>788</v>
      </c>
      <c r="H38" s="24">
        <v>152106</v>
      </c>
      <c r="I38" s="21">
        <v>0</v>
      </c>
      <c r="J38" s="24">
        <v>0</v>
      </c>
      <c r="K38" s="23">
        <v>5</v>
      </c>
      <c r="L38" s="24">
        <v>890</v>
      </c>
      <c r="M38" s="21">
        <v>62</v>
      </c>
      <c r="N38" s="24">
        <v>10867</v>
      </c>
      <c r="O38" s="23">
        <v>0</v>
      </c>
      <c r="P38" s="24">
        <v>0</v>
      </c>
      <c r="Q38" s="21">
        <v>12</v>
      </c>
      <c r="R38" s="24">
        <v>21723</v>
      </c>
      <c r="S38" s="78">
        <v>0</v>
      </c>
      <c r="T38" s="24">
        <v>148</v>
      </c>
      <c r="U38" s="21">
        <v>0</v>
      </c>
      <c r="V38" s="24">
        <v>0</v>
      </c>
      <c r="W38" s="23">
        <v>0</v>
      </c>
      <c r="X38" s="24">
        <v>0</v>
      </c>
      <c r="Y38" s="21">
        <v>0</v>
      </c>
      <c r="Z38" s="24">
        <v>0</v>
      </c>
      <c r="AA38" s="23">
        <v>785</v>
      </c>
      <c r="AB38" s="24">
        <v>45866</v>
      </c>
    </row>
    <row r="39" spans="1:28" s="6" customFormat="1" ht="16.5" customHeight="1">
      <c r="A39" s="19"/>
      <c r="B39" s="20" t="s">
        <v>4</v>
      </c>
      <c r="C39" s="21">
        <v>272</v>
      </c>
      <c r="D39" s="43">
        <v>69591</v>
      </c>
      <c r="E39" s="38">
        <v>79</v>
      </c>
      <c r="F39" s="22">
        <v>6382</v>
      </c>
      <c r="G39" s="23">
        <v>83</v>
      </c>
      <c r="H39" s="24">
        <v>22972</v>
      </c>
      <c r="I39" s="68">
        <v>0</v>
      </c>
      <c r="J39" s="69">
        <v>0</v>
      </c>
      <c r="K39" s="23">
        <v>2</v>
      </c>
      <c r="L39" s="24">
        <v>339</v>
      </c>
      <c r="M39" s="21">
        <v>19</v>
      </c>
      <c r="N39" s="24">
        <v>4688</v>
      </c>
      <c r="O39" s="23">
        <v>2</v>
      </c>
      <c r="P39" s="24">
        <v>3801</v>
      </c>
      <c r="Q39" s="21">
        <v>6</v>
      </c>
      <c r="R39" s="24">
        <v>9703</v>
      </c>
      <c r="S39" s="78">
        <v>0</v>
      </c>
      <c r="T39" s="24">
        <v>37</v>
      </c>
      <c r="U39" s="68">
        <v>0</v>
      </c>
      <c r="V39" s="69">
        <v>0</v>
      </c>
      <c r="W39" s="70">
        <v>0</v>
      </c>
      <c r="X39" s="69">
        <v>0</v>
      </c>
      <c r="Y39" s="68">
        <v>0</v>
      </c>
      <c r="Z39" s="69">
        <v>0</v>
      </c>
      <c r="AA39" s="23">
        <v>81</v>
      </c>
      <c r="AB39" s="24">
        <v>21669</v>
      </c>
    </row>
    <row r="40" spans="1:28" s="6" customFormat="1" ht="16.5" customHeight="1">
      <c r="A40" s="19"/>
      <c r="B40" s="20" t="s">
        <v>5</v>
      </c>
      <c r="C40" s="21">
        <v>3057</v>
      </c>
      <c r="D40" s="43">
        <v>359398</v>
      </c>
      <c r="E40" s="38">
        <v>1619</v>
      </c>
      <c r="F40" s="22">
        <v>106235</v>
      </c>
      <c r="G40" s="23">
        <v>847</v>
      </c>
      <c r="H40" s="24">
        <v>138926</v>
      </c>
      <c r="I40" s="21">
        <v>0</v>
      </c>
      <c r="J40" s="24">
        <v>0</v>
      </c>
      <c r="K40" s="23">
        <v>8</v>
      </c>
      <c r="L40" s="24">
        <v>1615</v>
      </c>
      <c r="M40" s="21">
        <v>36</v>
      </c>
      <c r="N40" s="24">
        <v>7929</v>
      </c>
      <c r="O40" s="23">
        <v>27</v>
      </c>
      <c r="P40" s="24">
        <v>22815</v>
      </c>
      <c r="Q40" s="21">
        <v>13</v>
      </c>
      <c r="R40" s="24">
        <v>20058</v>
      </c>
      <c r="S40" s="78">
        <v>2</v>
      </c>
      <c r="T40" s="24">
        <v>623</v>
      </c>
      <c r="U40" s="68">
        <v>0</v>
      </c>
      <c r="V40" s="24">
        <v>0</v>
      </c>
      <c r="W40" s="23">
        <v>1</v>
      </c>
      <c r="X40" s="24">
        <v>29</v>
      </c>
      <c r="Y40" s="21">
        <v>0</v>
      </c>
      <c r="Z40" s="24">
        <v>0</v>
      </c>
      <c r="AA40" s="23">
        <v>504</v>
      </c>
      <c r="AB40" s="24">
        <v>61168</v>
      </c>
    </row>
    <row r="41" spans="1:28" s="6" customFormat="1" ht="16.5" customHeight="1">
      <c r="A41" s="19"/>
      <c r="B41" s="20" t="s">
        <v>6</v>
      </c>
      <c r="C41" s="21">
        <v>18594</v>
      </c>
      <c r="D41" s="43">
        <v>912376</v>
      </c>
      <c r="E41" s="110">
        <v>0</v>
      </c>
      <c r="F41" s="24">
        <v>13</v>
      </c>
      <c r="G41" s="23">
        <v>7</v>
      </c>
      <c r="H41" s="24">
        <v>2726</v>
      </c>
      <c r="I41" s="21">
        <v>0</v>
      </c>
      <c r="J41" s="24">
        <v>0</v>
      </c>
      <c r="K41" s="78">
        <v>0</v>
      </c>
      <c r="L41" s="24">
        <v>1</v>
      </c>
      <c r="M41" s="21">
        <v>14</v>
      </c>
      <c r="N41" s="24">
        <v>4415</v>
      </c>
      <c r="O41" s="23">
        <v>7</v>
      </c>
      <c r="P41" s="24">
        <v>3256</v>
      </c>
      <c r="Q41" s="53">
        <v>5</v>
      </c>
      <c r="R41" s="24">
        <v>7040</v>
      </c>
      <c r="S41" s="68">
        <v>0</v>
      </c>
      <c r="T41" s="24">
        <v>0</v>
      </c>
      <c r="U41" s="68">
        <v>0</v>
      </c>
      <c r="V41" s="24">
        <v>0</v>
      </c>
      <c r="W41" s="23">
        <v>18456</v>
      </c>
      <c r="X41" s="24">
        <v>875618</v>
      </c>
      <c r="Y41" s="21">
        <v>0</v>
      </c>
      <c r="Z41" s="24">
        <v>0</v>
      </c>
      <c r="AA41" s="23">
        <v>105</v>
      </c>
      <c r="AB41" s="24">
        <v>19307</v>
      </c>
    </row>
    <row r="42" spans="1:28" s="6" customFormat="1" ht="16.5" customHeight="1">
      <c r="A42" s="19"/>
      <c r="B42" s="20" t="s">
        <v>7</v>
      </c>
      <c r="C42" s="21">
        <v>44846</v>
      </c>
      <c r="D42" s="43">
        <v>2197722</v>
      </c>
      <c r="E42" s="38">
        <v>49</v>
      </c>
      <c r="F42" s="22">
        <v>2261</v>
      </c>
      <c r="G42" s="23">
        <v>14</v>
      </c>
      <c r="H42" s="24">
        <v>3801</v>
      </c>
      <c r="I42" s="21">
        <v>0</v>
      </c>
      <c r="J42" s="24">
        <v>0</v>
      </c>
      <c r="K42" s="78">
        <v>0</v>
      </c>
      <c r="L42" s="24">
        <v>1</v>
      </c>
      <c r="M42" s="21">
        <v>7</v>
      </c>
      <c r="N42" s="24">
        <v>2562</v>
      </c>
      <c r="O42" s="23">
        <v>0</v>
      </c>
      <c r="P42" s="24">
        <v>0</v>
      </c>
      <c r="Q42" s="21">
        <v>2</v>
      </c>
      <c r="R42" s="24">
        <v>4543</v>
      </c>
      <c r="S42" s="95">
        <v>0</v>
      </c>
      <c r="T42" s="24">
        <v>5</v>
      </c>
      <c r="U42" s="95">
        <v>0</v>
      </c>
      <c r="V42" s="24">
        <v>9</v>
      </c>
      <c r="W42" s="21">
        <v>44678</v>
      </c>
      <c r="X42" s="24">
        <v>2159993</v>
      </c>
      <c r="Y42" s="21">
        <v>0</v>
      </c>
      <c r="Z42" s="24">
        <v>0</v>
      </c>
      <c r="AA42" s="23">
        <v>96</v>
      </c>
      <c r="AB42" s="24">
        <v>24547</v>
      </c>
    </row>
    <row r="43" spans="1:28" s="6" customFormat="1" ht="16.5" customHeight="1">
      <c r="A43" s="19"/>
      <c r="B43" s="20" t="s">
        <v>8</v>
      </c>
      <c r="C43" s="21">
        <v>12370</v>
      </c>
      <c r="D43" s="43">
        <v>646296</v>
      </c>
      <c r="E43" s="38">
        <v>32</v>
      </c>
      <c r="F43" s="22">
        <v>1431</v>
      </c>
      <c r="G43" s="23">
        <v>15</v>
      </c>
      <c r="H43" s="24">
        <v>5620</v>
      </c>
      <c r="I43" s="21">
        <v>0</v>
      </c>
      <c r="J43" s="24">
        <v>0</v>
      </c>
      <c r="K43" s="78">
        <v>0</v>
      </c>
      <c r="L43" s="24">
        <v>285</v>
      </c>
      <c r="M43" s="21">
        <v>2</v>
      </c>
      <c r="N43" s="24">
        <v>801</v>
      </c>
      <c r="O43" s="23">
        <v>0</v>
      </c>
      <c r="P43" s="24">
        <v>0</v>
      </c>
      <c r="Q43" s="21">
        <v>3</v>
      </c>
      <c r="R43" s="24">
        <v>5340</v>
      </c>
      <c r="S43" s="95">
        <v>0</v>
      </c>
      <c r="T43" s="22">
        <v>40</v>
      </c>
      <c r="U43" s="68">
        <v>0</v>
      </c>
      <c r="V43" s="24">
        <v>0</v>
      </c>
      <c r="W43" s="23">
        <v>12274</v>
      </c>
      <c r="X43" s="24">
        <v>620765</v>
      </c>
      <c r="Y43" s="21">
        <v>0</v>
      </c>
      <c r="Z43" s="24">
        <v>0</v>
      </c>
      <c r="AA43" s="23">
        <v>44</v>
      </c>
      <c r="AB43" s="24">
        <v>12014</v>
      </c>
    </row>
    <row r="44" spans="1:28" s="6" customFormat="1" ht="16.5" customHeight="1">
      <c r="A44" s="19"/>
      <c r="B44" s="20" t="s">
        <v>9</v>
      </c>
      <c r="C44" s="21">
        <v>36990</v>
      </c>
      <c r="D44" s="43">
        <v>2682842</v>
      </c>
      <c r="E44" s="38">
        <v>3181</v>
      </c>
      <c r="F44" s="22">
        <v>143890</v>
      </c>
      <c r="G44" s="23">
        <v>386</v>
      </c>
      <c r="H44" s="24">
        <v>129715</v>
      </c>
      <c r="I44" s="78">
        <v>19</v>
      </c>
      <c r="J44" s="24">
        <v>1817</v>
      </c>
      <c r="K44" s="23">
        <v>29</v>
      </c>
      <c r="L44" s="24">
        <v>18435</v>
      </c>
      <c r="M44" s="21">
        <v>140</v>
      </c>
      <c r="N44" s="24">
        <v>25142</v>
      </c>
      <c r="O44" s="23">
        <v>0</v>
      </c>
      <c r="P44" s="24">
        <v>0</v>
      </c>
      <c r="Q44" s="21">
        <v>9</v>
      </c>
      <c r="R44" s="24">
        <v>17212</v>
      </c>
      <c r="S44" s="80">
        <v>2</v>
      </c>
      <c r="T44" s="22">
        <v>496</v>
      </c>
      <c r="U44" s="68">
        <v>0</v>
      </c>
      <c r="V44" s="24">
        <v>0</v>
      </c>
      <c r="W44" s="23">
        <v>32165</v>
      </c>
      <c r="X44" s="24">
        <v>2189576</v>
      </c>
      <c r="Y44" s="21">
        <v>0</v>
      </c>
      <c r="Z44" s="24">
        <v>0</v>
      </c>
      <c r="AA44" s="23">
        <v>1059</v>
      </c>
      <c r="AB44" s="24">
        <v>156559</v>
      </c>
    </row>
    <row r="45" spans="1:28" s="6" customFormat="1" ht="16.5" customHeight="1">
      <c r="A45" s="19"/>
      <c r="B45" s="20" t="s">
        <v>10</v>
      </c>
      <c r="C45" s="21">
        <v>55833</v>
      </c>
      <c r="D45" s="43">
        <v>5268804</v>
      </c>
      <c r="E45" s="38">
        <v>1911</v>
      </c>
      <c r="F45" s="22">
        <v>106378</v>
      </c>
      <c r="G45" s="23">
        <v>317</v>
      </c>
      <c r="H45" s="24">
        <v>127081</v>
      </c>
      <c r="I45" s="21">
        <v>47</v>
      </c>
      <c r="J45" s="24">
        <v>25246</v>
      </c>
      <c r="K45" s="23">
        <v>594</v>
      </c>
      <c r="L45" s="24">
        <v>638141</v>
      </c>
      <c r="M45" s="21">
        <v>70</v>
      </c>
      <c r="N45" s="24">
        <v>22221</v>
      </c>
      <c r="O45" s="23">
        <v>0</v>
      </c>
      <c r="P45" s="24">
        <v>0</v>
      </c>
      <c r="Q45" s="21">
        <v>8</v>
      </c>
      <c r="R45" s="24">
        <v>15572</v>
      </c>
      <c r="S45" s="80">
        <v>8</v>
      </c>
      <c r="T45" s="24">
        <v>1819</v>
      </c>
      <c r="U45" s="46">
        <v>0</v>
      </c>
      <c r="V45" s="24">
        <v>3</v>
      </c>
      <c r="W45" s="23">
        <v>52015</v>
      </c>
      <c r="X45" s="24">
        <v>4191774</v>
      </c>
      <c r="Y45" s="21">
        <v>0</v>
      </c>
      <c r="Z45" s="24">
        <v>0</v>
      </c>
      <c r="AA45" s="23">
        <v>863</v>
      </c>
      <c r="AB45" s="24">
        <v>140569</v>
      </c>
    </row>
    <row r="46" spans="1:28" s="6" customFormat="1" ht="16.5" customHeight="1">
      <c r="A46" s="19"/>
      <c r="B46" s="20" t="s">
        <v>11</v>
      </c>
      <c r="C46" s="21">
        <v>5283</v>
      </c>
      <c r="D46" s="43">
        <v>736369</v>
      </c>
      <c r="E46" s="38">
        <v>1893</v>
      </c>
      <c r="F46" s="22">
        <v>127641</v>
      </c>
      <c r="G46" s="23">
        <v>1037</v>
      </c>
      <c r="H46" s="24">
        <v>368168</v>
      </c>
      <c r="I46" s="21">
        <v>0</v>
      </c>
      <c r="J46" s="24">
        <v>0</v>
      </c>
      <c r="K46" s="23">
        <v>12</v>
      </c>
      <c r="L46" s="24">
        <v>7848</v>
      </c>
      <c r="M46" s="21">
        <v>26</v>
      </c>
      <c r="N46" s="24">
        <v>12234</v>
      </c>
      <c r="O46" s="23">
        <v>0</v>
      </c>
      <c r="P46" s="24">
        <v>0</v>
      </c>
      <c r="Q46" s="21">
        <v>3</v>
      </c>
      <c r="R46" s="24">
        <v>6880</v>
      </c>
      <c r="S46" s="78">
        <v>1</v>
      </c>
      <c r="T46" s="24">
        <v>290</v>
      </c>
      <c r="U46" s="23">
        <v>0</v>
      </c>
      <c r="V46" s="24">
        <v>0</v>
      </c>
      <c r="W46" s="23">
        <v>889</v>
      </c>
      <c r="X46" s="24">
        <v>67287</v>
      </c>
      <c r="Y46" s="21">
        <v>29</v>
      </c>
      <c r="Z46" s="24">
        <v>78156</v>
      </c>
      <c r="AA46" s="23">
        <v>1393</v>
      </c>
      <c r="AB46" s="24">
        <v>67865</v>
      </c>
    </row>
    <row r="47" spans="1:28" s="6" customFormat="1" ht="16.5" customHeight="1">
      <c r="A47" s="25"/>
      <c r="B47" s="26" t="s">
        <v>12</v>
      </c>
      <c r="C47" s="33"/>
      <c r="D47" s="44"/>
      <c r="E47" s="39"/>
      <c r="F47" s="34"/>
      <c r="G47" s="31"/>
      <c r="H47" s="32"/>
      <c r="I47" s="33"/>
      <c r="J47" s="32"/>
      <c r="K47" s="31"/>
      <c r="L47" s="32"/>
      <c r="M47" s="33"/>
      <c r="N47" s="32"/>
      <c r="O47" s="31"/>
      <c r="P47" s="32"/>
      <c r="Q47" s="33"/>
      <c r="R47" s="32"/>
      <c r="S47" s="79"/>
      <c r="T47" s="32"/>
      <c r="U47" s="33"/>
      <c r="V47" s="32"/>
      <c r="W47" s="33"/>
      <c r="X47" s="32"/>
      <c r="Y47" s="33"/>
      <c r="Z47" s="32"/>
      <c r="AA47" s="31"/>
      <c r="AB47" s="32"/>
    </row>
    <row r="48" spans="1:4" s="74" customFormat="1" ht="16.5" customHeight="1" thickBot="1">
      <c r="A48" s="76" t="s">
        <v>57</v>
      </c>
      <c r="B48" s="77"/>
      <c r="C48" s="77"/>
      <c r="D48" s="77"/>
    </row>
    <row r="49" spans="1:28" s="72" customFormat="1" ht="13.5">
      <c r="A49" s="114" t="str">
        <f>"2023（令和5）年"&amp;COUNTA(E36:E47)&amp;"月迄"</f>
        <v>2023（令和5）年11月迄</v>
      </c>
      <c r="B49" s="115"/>
      <c r="C49" s="71">
        <f>SUM(C36:C47)+1</f>
        <v>184888</v>
      </c>
      <c r="D49" s="71">
        <f>SUM(D36:D47)</f>
        <v>13790506</v>
      </c>
      <c r="E49" s="71">
        <f>SUM(E36:E47)+1</f>
        <v>12818</v>
      </c>
      <c r="F49" s="71">
        <f>SUM(F36:F47)-1</f>
        <v>810311</v>
      </c>
      <c r="G49" s="71">
        <f>SUM(G36:G47)</f>
        <v>4756</v>
      </c>
      <c r="H49" s="71">
        <f>SUM(H36:H47)</f>
        <v>1173913</v>
      </c>
      <c r="I49" s="111">
        <f>SUM(I36:I47)</f>
        <v>66</v>
      </c>
      <c r="J49" s="71">
        <f>SUM(J36:J47)</f>
        <v>27063</v>
      </c>
      <c r="K49" s="71">
        <f>SUM(K36:K47)+1</f>
        <v>662</v>
      </c>
      <c r="L49" s="71">
        <f>SUM(L36:L47)-1</f>
        <v>670334</v>
      </c>
      <c r="M49" s="71">
        <f>SUM(M36:M47)</f>
        <v>837</v>
      </c>
      <c r="N49" s="71">
        <f>SUM(N36:N47)</f>
        <v>143259</v>
      </c>
      <c r="O49" s="71">
        <f>SUM(O36:O47)</f>
        <v>36</v>
      </c>
      <c r="P49" s="71">
        <f>SUM(P36:P47)</f>
        <v>29872</v>
      </c>
      <c r="Q49" s="71">
        <f>SUM(Q36:Q47)</f>
        <v>71</v>
      </c>
      <c r="R49" s="98">
        <f>SUM(R36:R47)-1</f>
        <v>128965</v>
      </c>
      <c r="S49" s="109">
        <f>SUM(S36:S47)+1</f>
        <v>14</v>
      </c>
      <c r="T49" s="98">
        <f>SUM(T36:T47)</f>
        <v>3643</v>
      </c>
      <c r="U49" s="71">
        <f>SUM(U36:U47)</f>
        <v>0</v>
      </c>
      <c r="V49" s="71">
        <f>SUM(V36:V47)</f>
        <v>12</v>
      </c>
      <c r="W49" s="71">
        <f>SUM(W36:W47)+1</f>
        <v>160479</v>
      </c>
      <c r="X49" s="71">
        <f>SUM(X36:X47)</f>
        <v>10105042</v>
      </c>
      <c r="Y49" s="71">
        <f>SUM(Y36:Y47)</f>
        <v>29</v>
      </c>
      <c r="Z49" s="71">
        <f>SUM(Z36:Z47)</f>
        <v>78156</v>
      </c>
      <c r="AA49" s="71">
        <f>SUM(AA36:AA47)-3</f>
        <v>5120</v>
      </c>
      <c r="AB49" s="88">
        <f>SUM(AB36:AB47)+3</f>
        <v>619936</v>
      </c>
    </row>
    <row r="50" spans="1:28" s="74" customFormat="1" ht="13.5" customHeight="1">
      <c r="A50" s="116" t="str">
        <f>"前年"&amp;COUNTA(E36:E47)&amp;"月迄"</f>
        <v>前年11月迄</v>
      </c>
      <c r="B50" s="117"/>
      <c r="C50" s="73">
        <f ca="1">SUM(C24:(INDIRECT("c"&amp;COUNT($J36:$J47)+23)))+2</f>
        <v>169095</v>
      </c>
      <c r="D50" s="73">
        <f ca="1">SUM(D24:(INDIRECT("ｄ"&amp;COUNT($J36:$J47)+23)))-1</f>
        <v>10045605</v>
      </c>
      <c r="E50" s="73">
        <f ca="1">SUM(E24:(INDIRECT("e"&amp;COUNT($J36:$J47)+23)))-2</f>
        <v>25910</v>
      </c>
      <c r="F50" s="73">
        <f ca="1">SUM(F24:(INDIRECT("f"&amp;COUNT($J36:$J47)+23)))+1</f>
        <v>1493229</v>
      </c>
      <c r="G50" s="73">
        <f ca="1">SUM(G24:(INDIRECT("g"&amp;COUNT($J36:$J47)+23)))</f>
        <v>4969</v>
      </c>
      <c r="H50" s="73">
        <f ca="1">SUM(H24:(INDIRECT("h"&amp;COUNT($J36:$J47)+23)))</f>
        <v>1125363</v>
      </c>
      <c r="I50" s="73">
        <f ca="1">SUM(I24:(INDIRECT("i"&amp;COUNT($J36:$J47)+23)))+1</f>
        <v>25</v>
      </c>
      <c r="J50" s="73">
        <f ca="1">SUM(J24:(INDIRECT("j"&amp;COUNT($J36:$J47)+23)))</f>
        <v>16589</v>
      </c>
      <c r="K50" s="73">
        <f ca="1">SUM(K24:(INDIRECT("k"&amp;COUNT($J36:$J47)+23)))+1</f>
        <v>470</v>
      </c>
      <c r="L50" s="73">
        <f ca="1">SUM(L24:(INDIRECT("l"&amp;COUNT($J36:$J47)+23)))+1</f>
        <v>385637</v>
      </c>
      <c r="M50" s="73">
        <f ca="1">SUM(M24:(INDIRECT("m"&amp;COUNT($J36:$J47)+23)))-1</f>
        <v>442</v>
      </c>
      <c r="N50" s="73">
        <f ca="1">SUM(N24:(INDIRECT("n"&amp;COUNT($J36:$J47)+23)))-1</f>
        <v>114182</v>
      </c>
      <c r="O50" s="73">
        <f ca="1">SUM(O24:(INDIRECT("o"&amp;COUNT($J36:$J47)+23)))+1</f>
        <v>77</v>
      </c>
      <c r="P50" s="73">
        <f ca="1">SUM(P24:(INDIRECT("p"&amp;COUNT($J36:$J47)+23)))</f>
        <v>44917</v>
      </c>
      <c r="Q50" s="73">
        <f ca="1">SUM(Q24:(INDIRECT("q"&amp;COUNT($J36:$J47)+23)))+1</f>
        <v>71</v>
      </c>
      <c r="R50" s="73">
        <f ca="1">SUM(R24:(INDIRECT("r"&amp;COUNT($J36:$J47)+23)))-1</f>
        <v>126415</v>
      </c>
      <c r="S50" s="73">
        <f ca="1">SUM(S24:(INDIRECT("s"&amp;COUNT($J36:$J47)+23)))+2</f>
        <v>23</v>
      </c>
      <c r="T50" s="73">
        <f ca="1">SUM(T24:(INDIRECT("t"&amp;COUNT($J36:$J47)+23)))</f>
        <v>6162</v>
      </c>
      <c r="U50" s="73">
        <f ca="1">SUM(U24:(INDIRECT("u"&amp;COUNT($J36:$J47)+23)))+1</f>
        <v>221</v>
      </c>
      <c r="V50" s="73">
        <f ca="1">SUM(V24:(INDIRECT("v"&amp;COUNT($J36:$J47)+23)))</f>
        <v>12153</v>
      </c>
      <c r="W50" s="73">
        <f ca="1">SUM(W24:(INDIRECT("w"&amp;COUNT($J36:$J47)+23)))</f>
        <v>134863</v>
      </c>
      <c r="X50" s="73">
        <f ca="1">SUM(X24:(INDIRECT("x"&amp;COUNT($J36:$J47)+23)))+1</f>
        <v>6062404</v>
      </c>
      <c r="Y50" s="73">
        <f ca="1">SUM(Y24:(INDIRECT("y"&amp;COUNT($Y36:$Y47)+23)))+1</f>
        <v>47</v>
      </c>
      <c r="Z50" s="73">
        <f ca="1">SUM(Z24:(INDIRECT("z"&amp;COUNT($J36:$J47)+23)))-1</f>
        <v>178533</v>
      </c>
      <c r="AA50" s="73">
        <f ca="1">SUM(AA24:(INDIRECT("aa"&amp;COUNT($J36:$J47)+23)))-3</f>
        <v>1977</v>
      </c>
      <c r="AB50" s="89">
        <f ca="1">SUM(AB24:(INDIRECT("ab"&amp;COUNT($J36:$J47)+23)))-1</f>
        <v>480021</v>
      </c>
    </row>
    <row r="51" spans="1:28" s="74" customFormat="1" ht="14.25" thickBot="1">
      <c r="A51" s="118" t="s">
        <v>56</v>
      </c>
      <c r="B51" s="119"/>
      <c r="C51" s="75">
        <f>C49-C50</f>
        <v>15793</v>
      </c>
      <c r="D51" s="75">
        <f aca="true" t="shared" si="0" ref="D51:Z51">D49-D50</f>
        <v>3744901</v>
      </c>
      <c r="E51" s="75">
        <f>E49-E50</f>
        <v>-13092</v>
      </c>
      <c r="F51" s="75">
        <f t="shared" si="0"/>
        <v>-682918</v>
      </c>
      <c r="G51" s="75">
        <f t="shared" si="0"/>
        <v>-213</v>
      </c>
      <c r="H51" s="75">
        <f>H49-H50</f>
        <v>48550</v>
      </c>
      <c r="I51" s="75">
        <f t="shared" si="0"/>
        <v>41</v>
      </c>
      <c r="J51" s="75">
        <f t="shared" si="0"/>
        <v>10474</v>
      </c>
      <c r="K51" s="75">
        <f t="shared" si="0"/>
        <v>192</v>
      </c>
      <c r="L51" s="75">
        <f t="shared" si="0"/>
        <v>284697</v>
      </c>
      <c r="M51" s="75">
        <f t="shared" si="0"/>
        <v>395</v>
      </c>
      <c r="N51" s="75">
        <f t="shared" si="0"/>
        <v>29077</v>
      </c>
      <c r="O51" s="75">
        <f t="shared" si="0"/>
        <v>-41</v>
      </c>
      <c r="P51" s="75">
        <f t="shared" si="0"/>
        <v>-15045</v>
      </c>
      <c r="Q51" s="75">
        <f t="shared" si="0"/>
        <v>0</v>
      </c>
      <c r="R51" s="101">
        <f t="shared" si="0"/>
        <v>2550</v>
      </c>
      <c r="S51" s="102">
        <f>S49-S50</f>
        <v>-9</v>
      </c>
      <c r="T51" s="101">
        <f t="shared" si="0"/>
        <v>-2519</v>
      </c>
      <c r="U51" s="75">
        <f>U49-U50</f>
        <v>-221</v>
      </c>
      <c r="V51" s="75">
        <f t="shared" si="0"/>
        <v>-12141</v>
      </c>
      <c r="W51" s="75">
        <f t="shared" si="0"/>
        <v>25616</v>
      </c>
      <c r="X51" s="75">
        <f t="shared" si="0"/>
        <v>4042638</v>
      </c>
      <c r="Y51" s="75">
        <f>Y49-Y50</f>
        <v>-18</v>
      </c>
      <c r="Z51" s="75">
        <f t="shared" si="0"/>
        <v>-100377</v>
      </c>
      <c r="AA51" s="75">
        <f>AA49-AA50</f>
        <v>3143</v>
      </c>
      <c r="AB51" s="90">
        <f>AB49-AB50</f>
        <v>139915</v>
      </c>
    </row>
    <row r="52" s="6" customFormat="1" ht="16.5" customHeight="1">
      <c r="A52" s="6" t="s">
        <v>19</v>
      </c>
    </row>
    <row r="53" s="6" customFormat="1" ht="16.5" customHeight="1">
      <c r="A53" s="6" t="s">
        <v>20</v>
      </c>
    </row>
    <row r="54" s="1" customFormat="1" ht="15" customHeight="1"/>
    <row r="55" spans="3:28" ht="13.5"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</row>
  </sheetData>
  <sheetProtection/>
  <mergeCells count="17">
    <mergeCell ref="W4:X4"/>
    <mergeCell ref="A4:B5"/>
    <mergeCell ref="C4:D4"/>
    <mergeCell ref="E4:F4"/>
    <mergeCell ref="G4:H4"/>
    <mergeCell ref="I4:J4"/>
    <mergeCell ref="K4:L4"/>
    <mergeCell ref="Y4:Z4"/>
    <mergeCell ref="AA4:AB4"/>
    <mergeCell ref="A49:B49"/>
    <mergeCell ref="A50:B50"/>
    <mergeCell ref="A51:B51"/>
    <mergeCell ref="M4:N4"/>
    <mergeCell ref="O4:P4"/>
    <mergeCell ref="Q4:R4"/>
    <mergeCell ref="S4:T4"/>
    <mergeCell ref="U4:V4"/>
  </mergeCells>
  <conditionalFormatting sqref="C51:T51 T49 C49:H50 V49:AB49 J49:R50 V50:X51 Z50:AB51">
    <cfRule type="cellIs" priority="3" dxfId="12" operator="equal">
      <formula>0</formula>
    </cfRule>
  </conditionalFormatting>
  <conditionalFormatting sqref="S49">
    <cfRule type="cellIs" priority="2" dxfId="13" operator="equal" stopIfTrue="1">
      <formula>0</formula>
    </cfRule>
  </conditionalFormatting>
  <printOptions/>
  <pageMargins left="0.75" right="0.75" top="1" bottom="1" header="0.512" footer="0.512"/>
  <pageSetup fitToWidth="0" fitToHeight="1"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4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7.59765625" style="56" customWidth="1"/>
    <col min="2" max="2" width="5.5" style="56" customWidth="1"/>
    <col min="3" max="3" width="10.5" style="56" bestFit="1" customWidth="1"/>
    <col min="4" max="4" width="13.8984375" style="56" bestFit="1" customWidth="1"/>
    <col min="5" max="5" width="8.59765625" style="56" customWidth="1"/>
    <col min="6" max="6" width="11.8984375" style="56" customWidth="1"/>
    <col min="7" max="7" width="8.59765625" style="56" customWidth="1"/>
    <col min="8" max="8" width="11.8984375" style="56" customWidth="1"/>
    <col min="9" max="9" width="8.59765625" style="56" customWidth="1"/>
    <col min="10" max="10" width="11.8984375" style="56" customWidth="1"/>
    <col min="11" max="11" width="8.59765625" style="56" customWidth="1"/>
    <col min="12" max="12" width="11.8984375" style="56" customWidth="1"/>
    <col min="13" max="13" width="8.59765625" style="56" customWidth="1"/>
    <col min="14" max="14" width="11.8984375" style="56" customWidth="1"/>
    <col min="15" max="15" width="8.59765625" style="56" customWidth="1"/>
    <col min="16" max="16" width="11.8984375" style="56" customWidth="1"/>
    <col min="17" max="17" width="8.59765625" style="56" customWidth="1"/>
    <col min="18" max="18" width="11.8984375" style="56" customWidth="1"/>
    <col min="19" max="19" width="8.59765625" style="56" customWidth="1"/>
    <col min="20" max="20" width="11.8984375" style="56" customWidth="1"/>
    <col min="21" max="21" width="8.59765625" style="56" customWidth="1"/>
    <col min="22" max="22" width="11.8984375" style="56" customWidth="1"/>
    <col min="23" max="23" width="8.59765625" style="56" customWidth="1"/>
    <col min="24" max="24" width="11.8984375" style="56" customWidth="1"/>
    <col min="25" max="25" width="8.59765625" style="56" customWidth="1"/>
    <col min="26" max="26" width="11.8984375" style="56" customWidth="1"/>
    <col min="27" max="27" width="8.59765625" style="56" customWidth="1"/>
    <col min="28" max="28" width="11.8984375" style="56" customWidth="1"/>
    <col min="29" max="16384" width="9" style="56" customWidth="1"/>
  </cols>
  <sheetData>
    <row r="1" ht="16.5" customHeight="1">
      <c r="A1" s="5" t="s">
        <v>77</v>
      </c>
    </row>
    <row r="2" ht="13.5" customHeight="1"/>
    <row r="3" s="6" customFormat="1" ht="16.5" customHeight="1">
      <c r="A3" s="6" t="s">
        <v>31</v>
      </c>
    </row>
    <row r="4" spans="1:28" s="6" customFormat="1" ht="18.75" customHeight="1">
      <c r="A4" s="120" t="s">
        <v>18</v>
      </c>
      <c r="B4" s="121"/>
      <c r="C4" s="124" t="s">
        <v>0</v>
      </c>
      <c r="D4" s="125"/>
      <c r="E4" s="126" t="s">
        <v>14</v>
      </c>
      <c r="F4" s="113"/>
      <c r="G4" s="112" t="s">
        <v>21</v>
      </c>
      <c r="H4" s="113"/>
      <c r="I4" s="112" t="s">
        <v>22</v>
      </c>
      <c r="J4" s="113"/>
      <c r="K4" s="112" t="s">
        <v>23</v>
      </c>
      <c r="L4" s="113"/>
      <c r="M4" s="112" t="s">
        <v>24</v>
      </c>
      <c r="N4" s="113"/>
      <c r="O4" s="112" t="s">
        <v>15</v>
      </c>
      <c r="P4" s="113"/>
      <c r="Q4" s="112" t="s">
        <v>25</v>
      </c>
      <c r="R4" s="113"/>
      <c r="S4" s="112" t="s">
        <v>26</v>
      </c>
      <c r="T4" s="113"/>
      <c r="U4" s="112" t="s">
        <v>27</v>
      </c>
      <c r="V4" s="113"/>
      <c r="W4" s="112" t="s">
        <v>28</v>
      </c>
      <c r="X4" s="113"/>
      <c r="Y4" s="112" t="s">
        <v>29</v>
      </c>
      <c r="Z4" s="113"/>
      <c r="AA4" s="112" t="s">
        <v>30</v>
      </c>
      <c r="AB4" s="113"/>
    </row>
    <row r="5" spans="1:28" s="6" customFormat="1" ht="18.75" customHeight="1">
      <c r="A5" s="122"/>
      <c r="B5" s="123"/>
      <c r="C5" s="7" t="s">
        <v>16</v>
      </c>
      <c r="D5" s="40" t="s">
        <v>17</v>
      </c>
      <c r="E5" s="35" t="s">
        <v>16</v>
      </c>
      <c r="F5" s="10" t="s">
        <v>17</v>
      </c>
      <c r="G5" s="7" t="s">
        <v>16</v>
      </c>
      <c r="H5" s="8" t="s">
        <v>17</v>
      </c>
      <c r="I5" s="9" t="s">
        <v>16</v>
      </c>
      <c r="J5" s="10" t="s">
        <v>17</v>
      </c>
      <c r="K5" s="7" t="s">
        <v>16</v>
      </c>
      <c r="L5" s="8" t="s">
        <v>17</v>
      </c>
      <c r="M5" s="9" t="s">
        <v>16</v>
      </c>
      <c r="N5" s="10" t="s">
        <v>17</v>
      </c>
      <c r="O5" s="7" t="s">
        <v>16</v>
      </c>
      <c r="P5" s="8" t="s">
        <v>17</v>
      </c>
      <c r="Q5" s="9" t="s">
        <v>16</v>
      </c>
      <c r="R5" s="8" t="s">
        <v>17</v>
      </c>
      <c r="S5" s="7" t="s">
        <v>16</v>
      </c>
      <c r="T5" s="8" t="s">
        <v>17</v>
      </c>
      <c r="U5" s="9" t="s">
        <v>16</v>
      </c>
      <c r="V5" s="10" t="s">
        <v>17</v>
      </c>
      <c r="W5" s="7" t="s">
        <v>16</v>
      </c>
      <c r="X5" s="8" t="s">
        <v>17</v>
      </c>
      <c r="Y5" s="9" t="s">
        <v>16</v>
      </c>
      <c r="Z5" s="8" t="s">
        <v>17</v>
      </c>
      <c r="AA5" s="7" t="s">
        <v>16</v>
      </c>
      <c r="AB5" s="8" t="s">
        <v>17</v>
      </c>
    </row>
    <row r="6" spans="1:28" s="6" customFormat="1" ht="18.75" customHeight="1">
      <c r="A6" s="11" t="s">
        <v>71</v>
      </c>
      <c r="B6" s="12" t="s">
        <v>13</v>
      </c>
      <c r="C6" s="27">
        <v>114577</v>
      </c>
      <c r="D6" s="41">
        <v>11911835</v>
      </c>
      <c r="E6" s="36">
        <v>53813</v>
      </c>
      <c r="F6" s="30">
        <v>3896698</v>
      </c>
      <c r="G6" s="27">
        <v>3869</v>
      </c>
      <c r="H6" s="28">
        <v>966494</v>
      </c>
      <c r="I6" s="29">
        <v>28526</v>
      </c>
      <c r="J6" s="28">
        <v>1985504</v>
      </c>
      <c r="K6" s="27">
        <v>3602</v>
      </c>
      <c r="L6" s="28">
        <v>587516</v>
      </c>
      <c r="M6" s="29">
        <v>1345</v>
      </c>
      <c r="N6" s="28">
        <v>705161</v>
      </c>
      <c r="O6" s="27">
        <v>1579</v>
      </c>
      <c r="P6" s="28">
        <v>856075</v>
      </c>
      <c r="Q6" s="29">
        <v>118</v>
      </c>
      <c r="R6" s="28">
        <v>212500</v>
      </c>
      <c r="S6" s="27">
        <v>741</v>
      </c>
      <c r="T6" s="28">
        <v>140828</v>
      </c>
      <c r="U6" s="29">
        <v>3364</v>
      </c>
      <c r="V6" s="28">
        <v>78773</v>
      </c>
      <c r="W6" s="27">
        <v>2280</v>
      </c>
      <c r="X6" s="28">
        <v>43754</v>
      </c>
      <c r="Y6" s="29">
        <v>251</v>
      </c>
      <c r="Z6" s="28">
        <v>257030</v>
      </c>
      <c r="AA6" s="27">
        <v>15089</v>
      </c>
      <c r="AB6" s="28">
        <v>2181502</v>
      </c>
    </row>
    <row r="7" spans="1:28" s="6" customFormat="1" ht="18.75" customHeight="1">
      <c r="A7" s="19" t="s">
        <v>70</v>
      </c>
      <c r="B7" s="48" t="s">
        <v>13</v>
      </c>
      <c r="C7" s="23">
        <v>137948</v>
      </c>
      <c r="D7" s="43">
        <v>14562957</v>
      </c>
      <c r="E7" s="38">
        <v>55786</v>
      </c>
      <c r="F7" s="22">
        <v>4489157</v>
      </c>
      <c r="G7" s="23">
        <v>3310</v>
      </c>
      <c r="H7" s="24">
        <v>992926</v>
      </c>
      <c r="I7" s="21">
        <v>27899</v>
      </c>
      <c r="J7" s="24">
        <v>2081572</v>
      </c>
      <c r="K7" s="23">
        <v>3869</v>
      </c>
      <c r="L7" s="24">
        <v>893617</v>
      </c>
      <c r="M7" s="21">
        <v>1490</v>
      </c>
      <c r="N7" s="24">
        <v>754333</v>
      </c>
      <c r="O7" s="23">
        <v>1487</v>
      </c>
      <c r="P7" s="24">
        <v>916744</v>
      </c>
      <c r="Q7" s="21">
        <v>108</v>
      </c>
      <c r="R7" s="24">
        <v>195023</v>
      </c>
      <c r="S7" s="23">
        <v>725</v>
      </c>
      <c r="T7" s="24">
        <v>89569</v>
      </c>
      <c r="U7" s="21">
        <v>1891</v>
      </c>
      <c r="V7" s="24">
        <v>144705</v>
      </c>
      <c r="W7" s="23">
        <v>16112</v>
      </c>
      <c r="X7" s="24">
        <v>382795</v>
      </c>
      <c r="Y7" s="46">
        <v>360</v>
      </c>
      <c r="Z7" s="24">
        <v>326991</v>
      </c>
      <c r="AA7" s="23">
        <v>24912</v>
      </c>
      <c r="AB7" s="24">
        <v>3295525</v>
      </c>
    </row>
    <row r="8" spans="1:28" s="6" customFormat="1" ht="18.75" customHeight="1">
      <c r="A8" s="19" t="s">
        <v>69</v>
      </c>
      <c r="B8" s="48" t="s">
        <v>13</v>
      </c>
      <c r="C8" s="23">
        <v>107569</v>
      </c>
      <c r="D8" s="43">
        <v>12723109</v>
      </c>
      <c r="E8" s="38">
        <v>50408</v>
      </c>
      <c r="F8" s="22">
        <v>4285036</v>
      </c>
      <c r="G8" s="23">
        <v>3511</v>
      </c>
      <c r="H8" s="24">
        <v>1040834</v>
      </c>
      <c r="I8" s="21">
        <v>34098</v>
      </c>
      <c r="J8" s="24">
        <v>2522079</v>
      </c>
      <c r="K8" s="23">
        <v>4992</v>
      </c>
      <c r="L8" s="24">
        <v>660467</v>
      </c>
      <c r="M8" s="21">
        <v>1176</v>
      </c>
      <c r="N8" s="24">
        <v>718806</v>
      </c>
      <c r="O8" s="23">
        <v>1422</v>
      </c>
      <c r="P8" s="24">
        <v>853981</v>
      </c>
      <c r="Q8" s="21">
        <v>103</v>
      </c>
      <c r="R8" s="24">
        <v>171971</v>
      </c>
      <c r="S8" s="23">
        <v>482</v>
      </c>
      <c r="T8" s="24">
        <v>114497</v>
      </c>
      <c r="U8" s="21">
        <v>794</v>
      </c>
      <c r="V8" s="24">
        <v>72318</v>
      </c>
      <c r="W8" s="23">
        <v>52</v>
      </c>
      <c r="X8" s="24">
        <v>2180</v>
      </c>
      <c r="Y8" s="46">
        <v>250</v>
      </c>
      <c r="Z8" s="24">
        <v>366073</v>
      </c>
      <c r="AA8" s="23">
        <v>10282</v>
      </c>
      <c r="AB8" s="24">
        <v>1914866</v>
      </c>
    </row>
    <row r="9" spans="1:28" s="6" customFormat="1" ht="18.75" customHeight="1">
      <c r="A9" s="19" t="s">
        <v>68</v>
      </c>
      <c r="B9" s="48" t="s">
        <v>13</v>
      </c>
      <c r="C9" s="23">
        <v>125679</v>
      </c>
      <c r="D9" s="43">
        <v>15281221</v>
      </c>
      <c r="E9" s="38">
        <v>66253</v>
      </c>
      <c r="F9" s="22">
        <v>6179462</v>
      </c>
      <c r="G9" s="23">
        <v>3669</v>
      </c>
      <c r="H9" s="24">
        <v>1200338</v>
      </c>
      <c r="I9" s="21">
        <v>30698</v>
      </c>
      <c r="J9" s="24">
        <v>2575115</v>
      </c>
      <c r="K9" s="23">
        <v>1852</v>
      </c>
      <c r="L9" s="24">
        <v>257255</v>
      </c>
      <c r="M9" s="21">
        <v>972</v>
      </c>
      <c r="N9" s="24">
        <v>586883</v>
      </c>
      <c r="O9" s="23">
        <v>1462</v>
      </c>
      <c r="P9" s="24">
        <v>895714</v>
      </c>
      <c r="Q9" s="21">
        <v>32</v>
      </c>
      <c r="R9" s="24">
        <v>54093</v>
      </c>
      <c r="S9" s="23">
        <v>233</v>
      </c>
      <c r="T9" s="24">
        <v>70889</v>
      </c>
      <c r="U9" s="21">
        <v>19</v>
      </c>
      <c r="V9" s="24">
        <v>2464</v>
      </c>
      <c r="W9" s="23">
        <v>681</v>
      </c>
      <c r="X9" s="24">
        <v>20030</v>
      </c>
      <c r="Y9" s="46">
        <v>102</v>
      </c>
      <c r="Z9" s="24">
        <v>191992</v>
      </c>
      <c r="AA9" s="23">
        <v>19706</v>
      </c>
      <c r="AB9" s="24">
        <v>3246986</v>
      </c>
    </row>
    <row r="10" spans="1:28" s="6" customFormat="1" ht="18.75" customHeight="1">
      <c r="A10" s="19" t="s">
        <v>67</v>
      </c>
      <c r="B10" s="48" t="s">
        <v>13</v>
      </c>
      <c r="C10" s="23">
        <v>128052</v>
      </c>
      <c r="D10" s="43">
        <v>12154590</v>
      </c>
      <c r="E10" s="38">
        <v>55825</v>
      </c>
      <c r="F10" s="22">
        <v>3325149</v>
      </c>
      <c r="G10" s="23">
        <v>3603</v>
      </c>
      <c r="H10" s="24">
        <v>926514</v>
      </c>
      <c r="I10" s="21">
        <v>28797</v>
      </c>
      <c r="J10" s="24">
        <v>2548975</v>
      </c>
      <c r="K10" s="23">
        <v>4772</v>
      </c>
      <c r="L10" s="24">
        <v>619477</v>
      </c>
      <c r="M10" s="21">
        <v>863</v>
      </c>
      <c r="N10" s="24">
        <v>414570</v>
      </c>
      <c r="O10" s="23">
        <v>1019</v>
      </c>
      <c r="P10" s="24">
        <v>615953</v>
      </c>
      <c r="Q10" s="21">
        <v>72</v>
      </c>
      <c r="R10" s="24">
        <v>121419</v>
      </c>
      <c r="S10" s="23">
        <v>958</v>
      </c>
      <c r="T10" s="24">
        <v>176614</v>
      </c>
      <c r="U10" s="21">
        <v>0</v>
      </c>
      <c r="V10" s="24">
        <v>0</v>
      </c>
      <c r="W10" s="23">
        <v>7138</v>
      </c>
      <c r="X10" s="24">
        <v>123775</v>
      </c>
      <c r="Y10" s="46">
        <v>252</v>
      </c>
      <c r="Z10" s="24">
        <v>250170</v>
      </c>
      <c r="AA10" s="23">
        <v>24753</v>
      </c>
      <c r="AB10" s="24">
        <v>3031974</v>
      </c>
    </row>
    <row r="11" spans="1:28" s="6" customFormat="1" ht="18.75" customHeight="1">
      <c r="A11" s="19" t="s">
        <v>66</v>
      </c>
      <c r="B11" s="48" t="s">
        <v>13</v>
      </c>
      <c r="C11" s="23">
        <v>113990</v>
      </c>
      <c r="D11" s="43">
        <v>11357761</v>
      </c>
      <c r="E11" s="38">
        <v>64240</v>
      </c>
      <c r="F11" s="22">
        <v>4297828</v>
      </c>
      <c r="G11" s="23">
        <v>4715</v>
      </c>
      <c r="H11" s="24">
        <v>1228507</v>
      </c>
      <c r="I11" s="21">
        <v>18531</v>
      </c>
      <c r="J11" s="24">
        <v>2052722</v>
      </c>
      <c r="K11" s="23">
        <v>3085</v>
      </c>
      <c r="L11" s="24">
        <v>713613</v>
      </c>
      <c r="M11" s="21">
        <v>866</v>
      </c>
      <c r="N11" s="24">
        <v>331092</v>
      </c>
      <c r="O11" s="23">
        <v>1282</v>
      </c>
      <c r="P11" s="24">
        <v>899729</v>
      </c>
      <c r="Q11" s="21">
        <v>58</v>
      </c>
      <c r="R11" s="24">
        <v>75496</v>
      </c>
      <c r="S11" s="23">
        <v>429</v>
      </c>
      <c r="T11" s="24">
        <v>88209</v>
      </c>
      <c r="U11" s="21">
        <v>250</v>
      </c>
      <c r="V11" s="24">
        <v>9225</v>
      </c>
      <c r="W11" s="23">
        <v>14742</v>
      </c>
      <c r="X11" s="24">
        <v>356297</v>
      </c>
      <c r="Y11" s="46">
        <v>271</v>
      </c>
      <c r="Z11" s="24">
        <v>190923</v>
      </c>
      <c r="AA11" s="23">
        <v>5521</v>
      </c>
      <c r="AB11" s="24">
        <v>1114120</v>
      </c>
    </row>
    <row r="12" spans="1:28" s="6" customFormat="1" ht="18.75" customHeight="1">
      <c r="A12" s="19" t="s">
        <v>65</v>
      </c>
      <c r="B12" s="48" t="s">
        <v>13</v>
      </c>
      <c r="C12" s="23">
        <v>119641</v>
      </c>
      <c r="D12" s="43">
        <v>9969801</v>
      </c>
      <c r="E12" s="38">
        <v>69584</v>
      </c>
      <c r="F12" s="22">
        <v>2931896</v>
      </c>
      <c r="G12" s="23">
        <v>5691</v>
      </c>
      <c r="H12" s="24">
        <v>1426392</v>
      </c>
      <c r="I12" s="21">
        <v>28277</v>
      </c>
      <c r="J12" s="24">
        <v>2446794</v>
      </c>
      <c r="K12" s="23">
        <v>6271</v>
      </c>
      <c r="L12" s="24">
        <v>1119647</v>
      </c>
      <c r="M12" s="21">
        <v>1303</v>
      </c>
      <c r="N12" s="24">
        <v>482612</v>
      </c>
      <c r="O12" s="23">
        <v>853</v>
      </c>
      <c r="P12" s="24">
        <v>549834</v>
      </c>
      <c r="Q12" s="21">
        <v>97</v>
      </c>
      <c r="R12" s="24">
        <v>92703</v>
      </c>
      <c r="S12" s="23">
        <v>248</v>
      </c>
      <c r="T12" s="24">
        <v>65418</v>
      </c>
      <c r="U12" s="21">
        <v>13</v>
      </c>
      <c r="V12" s="24">
        <v>2146</v>
      </c>
      <c r="W12" s="23">
        <v>3727</v>
      </c>
      <c r="X12" s="24">
        <v>76854</v>
      </c>
      <c r="Y12" s="46">
        <v>138</v>
      </c>
      <c r="Z12" s="24">
        <v>137147</v>
      </c>
      <c r="AA12" s="23">
        <v>3439</v>
      </c>
      <c r="AB12" s="24">
        <v>638358</v>
      </c>
    </row>
    <row r="13" spans="1:28" s="6" customFormat="1" ht="18.75" customHeight="1">
      <c r="A13" s="19" t="s">
        <v>64</v>
      </c>
      <c r="B13" s="48" t="s">
        <v>13</v>
      </c>
      <c r="C13" s="23">
        <v>110258</v>
      </c>
      <c r="D13" s="43">
        <v>8839453</v>
      </c>
      <c r="E13" s="64">
        <v>58421</v>
      </c>
      <c r="F13" s="22">
        <v>2986632</v>
      </c>
      <c r="G13" s="23">
        <v>6652</v>
      </c>
      <c r="H13" s="24">
        <v>1281557</v>
      </c>
      <c r="I13" s="65">
        <v>23683</v>
      </c>
      <c r="J13" s="66">
        <v>1484421</v>
      </c>
      <c r="K13" s="23">
        <v>6664</v>
      </c>
      <c r="L13" s="24">
        <v>963214</v>
      </c>
      <c r="M13" s="21">
        <v>1155</v>
      </c>
      <c r="N13" s="24">
        <v>444008</v>
      </c>
      <c r="O13" s="23">
        <v>504</v>
      </c>
      <c r="P13" s="24">
        <v>237111</v>
      </c>
      <c r="Q13" s="21">
        <v>104</v>
      </c>
      <c r="R13" s="24">
        <v>96695</v>
      </c>
      <c r="S13" s="23">
        <v>47</v>
      </c>
      <c r="T13" s="24">
        <v>11308</v>
      </c>
      <c r="U13" s="21">
        <v>2410</v>
      </c>
      <c r="V13" s="24">
        <v>181592</v>
      </c>
      <c r="W13" s="46">
        <v>3162</v>
      </c>
      <c r="X13" s="24">
        <v>77658</v>
      </c>
      <c r="Y13" s="46">
        <v>192</v>
      </c>
      <c r="Z13" s="24">
        <v>321608</v>
      </c>
      <c r="AA13" s="67">
        <v>7264</v>
      </c>
      <c r="AB13" s="66">
        <v>753649</v>
      </c>
    </row>
    <row r="14" spans="1:28" s="6" customFormat="1" ht="18.75" customHeight="1" thickBot="1">
      <c r="A14" s="13" t="s">
        <v>63</v>
      </c>
      <c r="B14" s="14" t="s">
        <v>13</v>
      </c>
      <c r="C14" s="17">
        <v>110668</v>
      </c>
      <c r="D14" s="42">
        <v>9021716</v>
      </c>
      <c r="E14" s="49">
        <v>65699</v>
      </c>
      <c r="F14" s="16">
        <v>3137775</v>
      </c>
      <c r="G14" s="17">
        <v>7287</v>
      </c>
      <c r="H14" s="18">
        <v>1124322</v>
      </c>
      <c r="I14" s="61">
        <v>15196</v>
      </c>
      <c r="J14" s="62">
        <v>1527694</v>
      </c>
      <c r="K14" s="17">
        <v>3001</v>
      </c>
      <c r="L14" s="18">
        <v>709906</v>
      </c>
      <c r="M14" s="15">
        <v>986</v>
      </c>
      <c r="N14" s="18">
        <v>319190</v>
      </c>
      <c r="O14" s="17">
        <v>268</v>
      </c>
      <c r="P14" s="18">
        <v>173234</v>
      </c>
      <c r="Q14" s="15">
        <v>181</v>
      </c>
      <c r="R14" s="18">
        <v>178894</v>
      </c>
      <c r="S14" s="17">
        <v>116</v>
      </c>
      <c r="T14" s="18">
        <v>38062</v>
      </c>
      <c r="U14" s="15">
        <v>2695</v>
      </c>
      <c r="V14" s="18">
        <v>400759</v>
      </c>
      <c r="W14" s="15">
        <v>9483</v>
      </c>
      <c r="X14" s="18">
        <v>327673</v>
      </c>
      <c r="Y14" s="15">
        <v>196</v>
      </c>
      <c r="Z14" s="18">
        <v>342030</v>
      </c>
      <c r="AA14" s="63">
        <v>5560</v>
      </c>
      <c r="AB14" s="62">
        <v>742177</v>
      </c>
    </row>
    <row r="15" spans="1:28" s="6" customFormat="1" ht="16.5" customHeight="1" thickTop="1">
      <c r="A15" s="19" t="s">
        <v>63</v>
      </c>
      <c r="B15" s="20" t="s">
        <v>1</v>
      </c>
      <c r="C15" s="23">
        <v>7698</v>
      </c>
      <c r="D15" s="43">
        <v>567900</v>
      </c>
      <c r="E15" s="38">
        <v>6310</v>
      </c>
      <c r="F15" s="22">
        <v>329167</v>
      </c>
      <c r="G15" s="23">
        <v>1041</v>
      </c>
      <c r="H15" s="24">
        <v>146024</v>
      </c>
      <c r="I15" s="21">
        <v>0</v>
      </c>
      <c r="J15" s="24">
        <v>0</v>
      </c>
      <c r="K15" s="23">
        <v>46</v>
      </c>
      <c r="L15" s="24">
        <v>4445</v>
      </c>
      <c r="M15" s="21">
        <v>83</v>
      </c>
      <c r="N15" s="24">
        <v>26899</v>
      </c>
      <c r="O15" s="23">
        <v>0</v>
      </c>
      <c r="P15" s="24">
        <v>0</v>
      </c>
      <c r="Q15" s="46">
        <v>11</v>
      </c>
      <c r="R15" s="24">
        <v>10584</v>
      </c>
      <c r="S15" s="23">
        <v>45</v>
      </c>
      <c r="T15" s="24">
        <v>13830</v>
      </c>
      <c r="U15" s="21">
        <v>0</v>
      </c>
      <c r="V15" s="24">
        <v>0</v>
      </c>
      <c r="W15" s="60">
        <v>0</v>
      </c>
      <c r="X15" s="24">
        <v>0</v>
      </c>
      <c r="Y15" s="60">
        <v>0</v>
      </c>
      <c r="Z15" s="24">
        <v>0</v>
      </c>
      <c r="AA15" s="23">
        <v>162</v>
      </c>
      <c r="AB15" s="24">
        <v>36951</v>
      </c>
    </row>
    <row r="16" spans="1:28" s="6" customFormat="1" ht="16.5" customHeight="1">
      <c r="A16" s="19"/>
      <c r="B16" s="20" t="s">
        <v>2</v>
      </c>
      <c r="C16" s="23">
        <v>13052</v>
      </c>
      <c r="D16" s="43">
        <v>860639</v>
      </c>
      <c r="E16" s="38">
        <v>12000</v>
      </c>
      <c r="F16" s="22">
        <v>717826</v>
      </c>
      <c r="G16" s="23">
        <v>769</v>
      </c>
      <c r="H16" s="24">
        <v>83648</v>
      </c>
      <c r="I16" s="21">
        <v>0</v>
      </c>
      <c r="J16" s="24">
        <v>0</v>
      </c>
      <c r="K16" s="23">
        <v>16</v>
      </c>
      <c r="L16" s="24">
        <v>890</v>
      </c>
      <c r="M16" s="21">
        <v>56</v>
      </c>
      <c r="N16" s="24">
        <v>16833</v>
      </c>
      <c r="O16" s="23">
        <v>0</v>
      </c>
      <c r="P16" s="24">
        <v>0</v>
      </c>
      <c r="Q16" s="46">
        <v>5</v>
      </c>
      <c r="R16" s="24">
        <v>4264</v>
      </c>
      <c r="S16" s="23">
        <v>36</v>
      </c>
      <c r="T16" s="24">
        <v>11570</v>
      </c>
      <c r="U16" s="21">
        <v>0</v>
      </c>
      <c r="V16" s="24">
        <v>0</v>
      </c>
      <c r="W16" s="23">
        <v>0</v>
      </c>
      <c r="X16" s="24">
        <v>0</v>
      </c>
      <c r="Y16" s="21">
        <v>0</v>
      </c>
      <c r="Z16" s="24">
        <v>0</v>
      </c>
      <c r="AA16" s="23">
        <v>170</v>
      </c>
      <c r="AB16" s="24">
        <v>25608</v>
      </c>
    </row>
    <row r="17" spans="1:28" s="6" customFormat="1" ht="16.5" customHeight="1">
      <c r="A17" s="19"/>
      <c r="B17" s="20" t="s">
        <v>3</v>
      </c>
      <c r="C17" s="23">
        <v>6695</v>
      </c>
      <c r="D17" s="43">
        <v>488287</v>
      </c>
      <c r="E17" s="38">
        <v>5845</v>
      </c>
      <c r="F17" s="22">
        <v>346935</v>
      </c>
      <c r="G17" s="23">
        <v>596</v>
      </c>
      <c r="H17" s="24">
        <v>85299</v>
      </c>
      <c r="I17" s="21">
        <v>0</v>
      </c>
      <c r="J17" s="24">
        <v>0</v>
      </c>
      <c r="K17" s="23">
        <v>8</v>
      </c>
      <c r="L17" s="24">
        <v>505</v>
      </c>
      <c r="M17" s="21">
        <v>91</v>
      </c>
      <c r="N17" s="24">
        <v>24184</v>
      </c>
      <c r="O17" s="23">
        <v>0</v>
      </c>
      <c r="P17" s="24">
        <v>0</v>
      </c>
      <c r="Q17" s="21">
        <v>8</v>
      </c>
      <c r="R17" s="24">
        <v>8661</v>
      </c>
      <c r="S17" s="23">
        <v>10</v>
      </c>
      <c r="T17" s="24">
        <v>3818</v>
      </c>
      <c r="U17" s="21">
        <v>0</v>
      </c>
      <c r="V17" s="24">
        <v>0</v>
      </c>
      <c r="W17" s="23">
        <v>0</v>
      </c>
      <c r="X17" s="24">
        <v>0</v>
      </c>
      <c r="Y17" s="21">
        <v>0</v>
      </c>
      <c r="Z17" s="24">
        <v>0</v>
      </c>
      <c r="AA17" s="23">
        <v>137</v>
      </c>
      <c r="AB17" s="24">
        <v>18885</v>
      </c>
    </row>
    <row r="18" spans="1:28" s="6" customFormat="1" ht="16.5" customHeight="1">
      <c r="A18" s="19"/>
      <c r="B18" s="20" t="s">
        <v>4</v>
      </c>
      <c r="C18" s="23">
        <v>6270</v>
      </c>
      <c r="D18" s="43">
        <v>457541</v>
      </c>
      <c r="E18" s="38">
        <v>4496</v>
      </c>
      <c r="F18" s="22">
        <v>183915</v>
      </c>
      <c r="G18" s="23">
        <v>1030</v>
      </c>
      <c r="H18" s="24">
        <v>140913</v>
      </c>
      <c r="I18" s="21">
        <v>0</v>
      </c>
      <c r="J18" s="24">
        <v>0</v>
      </c>
      <c r="K18" s="23">
        <v>7</v>
      </c>
      <c r="L18" s="24">
        <v>553</v>
      </c>
      <c r="M18" s="21">
        <v>177</v>
      </c>
      <c r="N18" s="24">
        <v>44357</v>
      </c>
      <c r="O18" s="23">
        <v>0</v>
      </c>
      <c r="P18" s="24">
        <v>0</v>
      </c>
      <c r="Q18" s="21">
        <v>43</v>
      </c>
      <c r="R18" s="24">
        <v>39459</v>
      </c>
      <c r="S18" s="23">
        <v>12</v>
      </c>
      <c r="T18" s="24">
        <v>4390</v>
      </c>
      <c r="U18" s="21">
        <v>0</v>
      </c>
      <c r="V18" s="24">
        <v>0</v>
      </c>
      <c r="W18" s="23">
        <v>0</v>
      </c>
      <c r="X18" s="24">
        <v>0</v>
      </c>
      <c r="Y18" s="21">
        <v>0</v>
      </c>
      <c r="Z18" s="24">
        <v>0</v>
      </c>
      <c r="AA18" s="23">
        <v>505</v>
      </c>
      <c r="AB18" s="24">
        <v>43954</v>
      </c>
    </row>
    <row r="19" spans="1:28" s="6" customFormat="1" ht="16.5" customHeight="1">
      <c r="A19" s="19"/>
      <c r="B19" s="20" t="s">
        <v>5</v>
      </c>
      <c r="C19" s="23">
        <v>5422</v>
      </c>
      <c r="D19" s="43">
        <v>352609</v>
      </c>
      <c r="E19" s="38">
        <v>4140</v>
      </c>
      <c r="F19" s="22">
        <v>166567</v>
      </c>
      <c r="G19" s="23">
        <v>863</v>
      </c>
      <c r="H19" s="24">
        <v>94635</v>
      </c>
      <c r="I19" s="21">
        <v>0</v>
      </c>
      <c r="J19" s="24">
        <v>0</v>
      </c>
      <c r="K19" s="23">
        <v>6</v>
      </c>
      <c r="L19" s="24">
        <v>434</v>
      </c>
      <c r="M19" s="21">
        <v>67</v>
      </c>
      <c r="N19" s="24">
        <v>14082</v>
      </c>
      <c r="O19" s="23">
        <v>10</v>
      </c>
      <c r="P19" s="24">
        <v>3892</v>
      </c>
      <c r="Q19" s="21">
        <v>38</v>
      </c>
      <c r="R19" s="24">
        <v>28326</v>
      </c>
      <c r="S19" s="23">
        <v>5</v>
      </c>
      <c r="T19" s="24">
        <v>1350</v>
      </c>
      <c r="U19" s="21">
        <v>0</v>
      </c>
      <c r="V19" s="24">
        <v>0</v>
      </c>
      <c r="W19" s="23">
        <v>0</v>
      </c>
      <c r="X19" s="24">
        <v>0</v>
      </c>
      <c r="Y19" s="21">
        <v>0</v>
      </c>
      <c r="Z19" s="24">
        <v>0</v>
      </c>
      <c r="AA19" s="23">
        <v>293</v>
      </c>
      <c r="AB19" s="24">
        <v>43323</v>
      </c>
    </row>
    <row r="20" spans="1:28" s="6" customFormat="1" ht="16.5" customHeight="1">
      <c r="A20" s="19"/>
      <c r="B20" s="20" t="s">
        <v>6</v>
      </c>
      <c r="C20" s="23">
        <v>2253</v>
      </c>
      <c r="D20" s="43">
        <v>176307</v>
      </c>
      <c r="E20" s="38">
        <v>313</v>
      </c>
      <c r="F20" s="22">
        <v>13784</v>
      </c>
      <c r="G20" s="23">
        <v>140</v>
      </c>
      <c r="H20" s="24">
        <v>14134</v>
      </c>
      <c r="I20" s="21">
        <v>1342</v>
      </c>
      <c r="J20" s="24">
        <v>44025</v>
      </c>
      <c r="K20" s="53">
        <v>0</v>
      </c>
      <c r="L20" s="24">
        <v>20</v>
      </c>
      <c r="M20" s="21">
        <v>73</v>
      </c>
      <c r="N20" s="24">
        <v>13484</v>
      </c>
      <c r="O20" s="23">
        <v>33</v>
      </c>
      <c r="P20" s="24">
        <v>16606</v>
      </c>
      <c r="Q20" s="53">
        <v>10</v>
      </c>
      <c r="R20" s="24">
        <v>8540</v>
      </c>
      <c r="S20" s="45">
        <v>2</v>
      </c>
      <c r="T20" s="24">
        <v>478</v>
      </c>
      <c r="U20" s="21">
        <v>1</v>
      </c>
      <c r="V20" s="24">
        <v>404</v>
      </c>
      <c r="W20" s="23">
        <v>0</v>
      </c>
      <c r="X20" s="24">
        <v>0</v>
      </c>
      <c r="Y20" s="21">
        <v>0</v>
      </c>
      <c r="Z20" s="24">
        <v>0</v>
      </c>
      <c r="AA20" s="23">
        <v>339</v>
      </c>
      <c r="AB20" s="24">
        <v>64832</v>
      </c>
    </row>
    <row r="21" spans="1:28" s="6" customFormat="1" ht="16.5" customHeight="1">
      <c r="A21" s="19"/>
      <c r="B21" s="20" t="s">
        <v>7</v>
      </c>
      <c r="C21" s="23">
        <v>1562</v>
      </c>
      <c r="D21" s="43">
        <v>394185</v>
      </c>
      <c r="E21" s="38">
        <v>7</v>
      </c>
      <c r="F21" s="22">
        <v>236</v>
      </c>
      <c r="G21" s="23">
        <v>36</v>
      </c>
      <c r="H21" s="24">
        <v>4503</v>
      </c>
      <c r="I21" s="21">
        <v>683</v>
      </c>
      <c r="J21" s="24">
        <v>116491</v>
      </c>
      <c r="K21" s="45">
        <v>514</v>
      </c>
      <c r="L21" s="24">
        <v>113135</v>
      </c>
      <c r="M21" s="21">
        <v>39</v>
      </c>
      <c r="N21" s="24">
        <v>11963</v>
      </c>
      <c r="O21" s="23">
        <v>108</v>
      </c>
      <c r="P21" s="24">
        <v>102989</v>
      </c>
      <c r="Q21" s="21">
        <v>5</v>
      </c>
      <c r="R21" s="24">
        <v>7233</v>
      </c>
      <c r="S21" s="45">
        <v>0</v>
      </c>
      <c r="T21" s="24">
        <v>10</v>
      </c>
      <c r="U21" s="45">
        <v>2</v>
      </c>
      <c r="V21" s="24">
        <v>486</v>
      </c>
      <c r="W21" s="21">
        <v>0</v>
      </c>
      <c r="X21" s="24">
        <v>0</v>
      </c>
      <c r="Y21" s="21">
        <v>0</v>
      </c>
      <c r="Z21" s="24">
        <v>0</v>
      </c>
      <c r="AA21" s="23">
        <v>168</v>
      </c>
      <c r="AB21" s="24">
        <v>37139</v>
      </c>
    </row>
    <row r="22" spans="1:28" s="6" customFormat="1" ht="16.5" customHeight="1">
      <c r="A22" s="19"/>
      <c r="B22" s="20" t="s">
        <v>8</v>
      </c>
      <c r="C22" s="23">
        <v>1833</v>
      </c>
      <c r="D22" s="43">
        <v>431476</v>
      </c>
      <c r="E22" s="38">
        <v>9</v>
      </c>
      <c r="F22" s="22">
        <v>302</v>
      </c>
      <c r="G22" s="23">
        <v>35</v>
      </c>
      <c r="H22" s="24">
        <v>4452</v>
      </c>
      <c r="I22" s="21">
        <v>128</v>
      </c>
      <c r="J22" s="24">
        <v>81154</v>
      </c>
      <c r="K22" s="23">
        <v>924</v>
      </c>
      <c r="L22" s="24">
        <v>219965</v>
      </c>
      <c r="M22" s="21">
        <v>21</v>
      </c>
      <c r="N22" s="24">
        <v>7285</v>
      </c>
      <c r="O22" s="23">
        <v>5</v>
      </c>
      <c r="P22" s="24">
        <v>2353</v>
      </c>
      <c r="Q22" s="21">
        <v>8</v>
      </c>
      <c r="R22" s="24">
        <v>9284</v>
      </c>
      <c r="S22" s="45">
        <v>0</v>
      </c>
      <c r="T22" s="24">
        <v>8</v>
      </c>
      <c r="U22" s="21">
        <v>0</v>
      </c>
      <c r="V22" s="24">
        <v>0</v>
      </c>
      <c r="W22" s="23">
        <v>140</v>
      </c>
      <c r="X22" s="24">
        <v>46491</v>
      </c>
      <c r="Y22" s="21">
        <v>0</v>
      </c>
      <c r="Z22" s="24">
        <v>0</v>
      </c>
      <c r="AA22" s="23">
        <v>563</v>
      </c>
      <c r="AB22" s="24">
        <v>60182</v>
      </c>
    </row>
    <row r="23" spans="1:28" s="6" customFormat="1" ht="16.5" customHeight="1">
      <c r="A23" s="19"/>
      <c r="B23" s="20" t="s">
        <v>9</v>
      </c>
      <c r="C23" s="23">
        <v>26024</v>
      </c>
      <c r="D23" s="43">
        <v>1890007</v>
      </c>
      <c r="E23" s="38">
        <v>13588</v>
      </c>
      <c r="F23" s="22">
        <v>505488</v>
      </c>
      <c r="G23" s="23">
        <v>606</v>
      </c>
      <c r="H23" s="24">
        <v>64343</v>
      </c>
      <c r="I23" s="21">
        <v>2736</v>
      </c>
      <c r="J23" s="24">
        <v>406732</v>
      </c>
      <c r="K23" s="23">
        <v>527</v>
      </c>
      <c r="L23" s="24">
        <v>126471</v>
      </c>
      <c r="M23" s="21">
        <v>39</v>
      </c>
      <c r="N23" s="24">
        <v>6583</v>
      </c>
      <c r="O23" s="23">
        <v>80</v>
      </c>
      <c r="P23" s="24">
        <v>34335</v>
      </c>
      <c r="Q23" s="21">
        <v>7</v>
      </c>
      <c r="R23" s="24">
        <v>6924</v>
      </c>
      <c r="S23" s="45">
        <v>1</v>
      </c>
      <c r="T23" s="24">
        <v>389</v>
      </c>
      <c r="U23" s="45">
        <v>2473</v>
      </c>
      <c r="V23" s="24">
        <v>389299</v>
      </c>
      <c r="W23" s="23">
        <v>4442</v>
      </c>
      <c r="X23" s="24">
        <v>133949</v>
      </c>
      <c r="Y23" s="21">
        <v>0</v>
      </c>
      <c r="Z23" s="24">
        <v>0</v>
      </c>
      <c r="AA23" s="23">
        <v>1525</v>
      </c>
      <c r="AB23" s="24">
        <v>215494</v>
      </c>
    </row>
    <row r="24" spans="1:28" s="6" customFormat="1" ht="16.5" customHeight="1">
      <c r="A24" s="19"/>
      <c r="B24" s="20" t="s">
        <v>10</v>
      </c>
      <c r="C24" s="23">
        <v>28051</v>
      </c>
      <c r="D24" s="43">
        <v>1895455</v>
      </c>
      <c r="E24" s="38">
        <v>9969</v>
      </c>
      <c r="F24" s="22">
        <v>390921</v>
      </c>
      <c r="G24" s="23">
        <v>934</v>
      </c>
      <c r="H24" s="24">
        <v>141579</v>
      </c>
      <c r="I24" s="21">
        <v>10074</v>
      </c>
      <c r="J24" s="24">
        <v>859541</v>
      </c>
      <c r="K24" s="23">
        <v>816</v>
      </c>
      <c r="L24" s="24">
        <v>210060</v>
      </c>
      <c r="M24" s="21">
        <v>50</v>
      </c>
      <c r="N24" s="24">
        <v>12261</v>
      </c>
      <c r="O24" s="23">
        <v>31</v>
      </c>
      <c r="P24" s="24">
        <v>13030</v>
      </c>
      <c r="Q24" s="21">
        <v>5</v>
      </c>
      <c r="R24" s="24">
        <v>6549</v>
      </c>
      <c r="S24" s="23">
        <v>2</v>
      </c>
      <c r="T24" s="24">
        <v>867</v>
      </c>
      <c r="U24" s="46">
        <v>219</v>
      </c>
      <c r="V24" s="24">
        <v>10570</v>
      </c>
      <c r="W24" s="23">
        <v>4899</v>
      </c>
      <c r="X24" s="24">
        <v>146664</v>
      </c>
      <c r="Y24" s="46">
        <v>12</v>
      </c>
      <c r="Z24" s="24">
        <v>21925</v>
      </c>
      <c r="AA24" s="23">
        <v>1040</v>
      </c>
      <c r="AB24" s="24">
        <v>81488</v>
      </c>
    </row>
    <row r="25" spans="1:28" s="6" customFormat="1" ht="16.5" customHeight="1">
      <c r="A25" s="19"/>
      <c r="B25" s="20" t="s">
        <v>11</v>
      </c>
      <c r="C25" s="23">
        <v>6059</v>
      </c>
      <c r="D25" s="43">
        <v>799388</v>
      </c>
      <c r="E25" s="38">
        <v>4418</v>
      </c>
      <c r="F25" s="22">
        <v>198246</v>
      </c>
      <c r="G25" s="23">
        <v>576</v>
      </c>
      <c r="H25" s="24">
        <v>128127</v>
      </c>
      <c r="I25" s="21">
        <v>233</v>
      </c>
      <c r="J25" s="24">
        <v>19752</v>
      </c>
      <c r="K25" s="23">
        <v>132</v>
      </c>
      <c r="L25" s="24">
        <v>32970</v>
      </c>
      <c r="M25" s="21">
        <v>133</v>
      </c>
      <c r="N25" s="24">
        <v>62017</v>
      </c>
      <c r="O25" s="45">
        <v>0</v>
      </c>
      <c r="P25" s="24">
        <v>30</v>
      </c>
      <c r="Q25" s="21">
        <v>23</v>
      </c>
      <c r="R25" s="24">
        <v>26967</v>
      </c>
      <c r="S25" s="23">
        <v>2</v>
      </c>
      <c r="T25" s="24">
        <v>585</v>
      </c>
      <c r="U25" s="21">
        <v>0</v>
      </c>
      <c r="V25" s="24">
        <v>0</v>
      </c>
      <c r="W25" s="45">
        <v>1</v>
      </c>
      <c r="X25" s="24">
        <v>568</v>
      </c>
      <c r="Y25" s="21">
        <v>169</v>
      </c>
      <c r="Z25" s="24">
        <v>294724</v>
      </c>
      <c r="AA25" s="23">
        <v>372</v>
      </c>
      <c r="AB25" s="24">
        <v>35402</v>
      </c>
    </row>
    <row r="26" spans="1:28" s="6" customFormat="1" ht="16.5" customHeight="1">
      <c r="A26" s="25"/>
      <c r="B26" s="26" t="s">
        <v>12</v>
      </c>
      <c r="C26" s="31">
        <v>5749</v>
      </c>
      <c r="D26" s="44">
        <v>707923</v>
      </c>
      <c r="E26" s="39">
        <v>4605</v>
      </c>
      <c r="F26" s="34">
        <v>284387</v>
      </c>
      <c r="G26" s="31">
        <v>660</v>
      </c>
      <c r="H26" s="32">
        <v>216667</v>
      </c>
      <c r="I26" s="33">
        <v>0</v>
      </c>
      <c r="J26" s="32">
        <v>0</v>
      </c>
      <c r="K26" s="31">
        <v>5</v>
      </c>
      <c r="L26" s="32">
        <v>458</v>
      </c>
      <c r="M26" s="33">
        <v>158</v>
      </c>
      <c r="N26" s="32">
        <v>79243</v>
      </c>
      <c r="O26" s="31">
        <v>0</v>
      </c>
      <c r="P26" s="32">
        <v>0</v>
      </c>
      <c r="Q26" s="33">
        <v>17</v>
      </c>
      <c r="R26" s="32">
        <v>22102</v>
      </c>
      <c r="S26" s="31">
        <v>1</v>
      </c>
      <c r="T26" s="32">
        <v>767</v>
      </c>
      <c r="U26" s="33">
        <v>0</v>
      </c>
      <c r="V26" s="32">
        <v>0</v>
      </c>
      <c r="W26" s="33">
        <v>0</v>
      </c>
      <c r="X26" s="32">
        <v>0</v>
      </c>
      <c r="Y26" s="33">
        <v>15</v>
      </c>
      <c r="Z26" s="32">
        <v>25380</v>
      </c>
      <c r="AA26" s="31">
        <v>288</v>
      </c>
      <c r="AB26" s="32">
        <v>78919</v>
      </c>
    </row>
    <row r="27" spans="1:28" s="6" customFormat="1" ht="16.5" customHeight="1">
      <c r="A27" s="19" t="s">
        <v>62</v>
      </c>
      <c r="B27" s="20" t="s">
        <v>1</v>
      </c>
      <c r="C27" s="23">
        <f aca="true" t="shared" si="0" ref="C27:D38">E27+G27+I27+K27+M27+O27+Q27+S27+U27+W27+Y27+AA27</f>
        <v>2759</v>
      </c>
      <c r="D27" s="43">
        <f t="shared" si="0"/>
        <v>317875</v>
      </c>
      <c r="E27" s="38">
        <v>1935</v>
      </c>
      <c r="F27" s="22">
        <v>139931</v>
      </c>
      <c r="G27" s="23">
        <v>623</v>
      </c>
      <c r="H27" s="24">
        <v>110109</v>
      </c>
      <c r="I27" s="21">
        <v>0</v>
      </c>
      <c r="J27" s="24">
        <v>0</v>
      </c>
      <c r="K27" s="23">
        <v>5</v>
      </c>
      <c r="L27" s="24">
        <v>589</v>
      </c>
      <c r="M27" s="21">
        <v>35</v>
      </c>
      <c r="N27" s="24">
        <v>13218</v>
      </c>
      <c r="O27" s="23">
        <v>0</v>
      </c>
      <c r="P27" s="24">
        <v>0</v>
      </c>
      <c r="Q27" s="46">
        <v>9</v>
      </c>
      <c r="R27" s="24">
        <v>10999</v>
      </c>
      <c r="S27" s="23">
        <v>2</v>
      </c>
      <c r="T27" s="24">
        <v>1369</v>
      </c>
      <c r="U27" s="21">
        <v>0</v>
      </c>
      <c r="V27" s="24">
        <v>0</v>
      </c>
      <c r="W27" s="21">
        <v>0</v>
      </c>
      <c r="X27" s="24">
        <v>0</v>
      </c>
      <c r="Y27" s="21">
        <v>0</v>
      </c>
      <c r="Z27" s="24">
        <v>0</v>
      </c>
      <c r="AA27" s="23">
        <v>150</v>
      </c>
      <c r="AB27" s="24">
        <v>41660</v>
      </c>
    </row>
    <row r="28" spans="1:28" s="6" customFormat="1" ht="16.5" customHeight="1">
      <c r="A28" s="19"/>
      <c r="B28" s="20" t="s">
        <v>2</v>
      </c>
      <c r="C28" s="23">
        <f t="shared" si="0"/>
        <v>7357</v>
      </c>
      <c r="D28" s="43">
        <f t="shared" si="0"/>
        <v>629097</v>
      </c>
      <c r="E28" s="38">
        <v>6387</v>
      </c>
      <c r="F28" s="22">
        <v>438850</v>
      </c>
      <c r="G28" s="23">
        <v>608</v>
      </c>
      <c r="H28" s="24">
        <v>116217</v>
      </c>
      <c r="I28" s="21">
        <v>0</v>
      </c>
      <c r="J28" s="24">
        <v>0</v>
      </c>
      <c r="K28" s="23">
        <v>7</v>
      </c>
      <c r="L28" s="24">
        <v>933</v>
      </c>
      <c r="M28" s="21">
        <v>59</v>
      </c>
      <c r="N28" s="24">
        <v>18167</v>
      </c>
      <c r="O28" s="23">
        <v>0</v>
      </c>
      <c r="P28" s="24">
        <v>0</v>
      </c>
      <c r="Q28" s="46">
        <v>17</v>
      </c>
      <c r="R28" s="24">
        <v>17652</v>
      </c>
      <c r="S28" s="23">
        <v>13</v>
      </c>
      <c r="T28" s="24">
        <v>7457</v>
      </c>
      <c r="U28" s="21">
        <v>0</v>
      </c>
      <c r="V28" s="24">
        <v>0</v>
      </c>
      <c r="W28" s="23">
        <v>0</v>
      </c>
      <c r="X28" s="24">
        <v>0</v>
      </c>
      <c r="Y28" s="21">
        <v>0</v>
      </c>
      <c r="Z28" s="24">
        <v>0</v>
      </c>
      <c r="AA28" s="23">
        <v>266</v>
      </c>
      <c r="AB28" s="24">
        <v>29821</v>
      </c>
    </row>
    <row r="29" spans="1:28" s="6" customFormat="1" ht="16.5" customHeight="1">
      <c r="A29" s="19"/>
      <c r="B29" s="20" t="s">
        <v>3</v>
      </c>
      <c r="C29" s="23">
        <f t="shared" si="0"/>
        <v>7650</v>
      </c>
      <c r="D29" s="43">
        <f t="shared" si="0"/>
        <v>616237</v>
      </c>
      <c r="E29" s="38">
        <v>6931</v>
      </c>
      <c r="F29" s="22">
        <v>448176</v>
      </c>
      <c r="G29" s="23">
        <v>530</v>
      </c>
      <c r="H29" s="24">
        <v>118490</v>
      </c>
      <c r="I29" s="21">
        <v>0</v>
      </c>
      <c r="J29" s="24">
        <v>0</v>
      </c>
      <c r="K29" s="23">
        <v>6</v>
      </c>
      <c r="L29" s="24">
        <v>899</v>
      </c>
      <c r="M29" s="21">
        <v>84</v>
      </c>
      <c r="N29" s="24">
        <v>23745</v>
      </c>
      <c r="O29" s="23">
        <v>0</v>
      </c>
      <c r="P29" s="24">
        <v>0</v>
      </c>
      <c r="Q29" s="21">
        <v>5</v>
      </c>
      <c r="R29" s="24">
        <v>5324</v>
      </c>
      <c r="S29" s="23">
        <v>9</v>
      </c>
      <c r="T29" s="24">
        <v>6025</v>
      </c>
      <c r="U29" s="21">
        <v>0</v>
      </c>
      <c r="V29" s="24">
        <v>0</v>
      </c>
      <c r="W29" s="23">
        <v>0</v>
      </c>
      <c r="X29" s="24">
        <v>0</v>
      </c>
      <c r="Y29" s="21">
        <v>0</v>
      </c>
      <c r="Z29" s="24">
        <v>0</v>
      </c>
      <c r="AA29" s="23">
        <v>85</v>
      </c>
      <c r="AB29" s="24">
        <v>13578</v>
      </c>
    </row>
    <row r="30" spans="1:28" s="6" customFormat="1" ht="16.5" customHeight="1">
      <c r="A30" s="19"/>
      <c r="B30" s="20" t="s">
        <v>4</v>
      </c>
      <c r="C30" s="23">
        <f>E30+G30+I30+K30+M30+O30+Q30+S30+U30+W30+Y30+AA30</f>
        <v>4217</v>
      </c>
      <c r="D30" s="43">
        <f t="shared" si="0"/>
        <v>543775</v>
      </c>
      <c r="E30" s="38">
        <v>2886</v>
      </c>
      <c r="F30" s="22">
        <v>210693</v>
      </c>
      <c r="G30" s="23">
        <v>834</v>
      </c>
      <c r="H30" s="24">
        <v>182172</v>
      </c>
      <c r="I30" s="68">
        <v>0</v>
      </c>
      <c r="J30" s="69">
        <v>0</v>
      </c>
      <c r="K30" s="23">
        <v>4</v>
      </c>
      <c r="L30" s="24">
        <v>693</v>
      </c>
      <c r="M30" s="21">
        <v>65</v>
      </c>
      <c r="N30" s="24">
        <v>20339</v>
      </c>
      <c r="O30" s="23">
        <v>7</v>
      </c>
      <c r="P30" s="24">
        <v>8831</v>
      </c>
      <c r="Q30" s="21">
        <v>25</v>
      </c>
      <c r="R30" s="24">
        <v>32407</v>
      </c>
      <c r="S30" s="23">
        <v>6</v>
      </c>
      <c r="T30" s="24">
        <v>4733</v>
      </c>
      <c r="U30" s="68">
        <v>0</v>
      </c>
      <c r="V30" s="69">
        <v>0</v>
      </c>
      <c r="W30" s="70">
        <v>0</v>
      </c>
      <c r="X30" s="69">
        <v>0</v>
      </c>
      <c r="Y30" s="68">
        <v>0</v>
      </c>
      <c r="Z30" s="69">
        <v>0</v>
      </c>
      <c r="AA30" s="23">
        <v>390</v>
      </c>
      <c r="AB30" s="24">
        <v>83907</v>
      </c>
    </row>
    <row r="31" spans="1:28" s="6" customFormat="1" ht="16.5" customHeight="1">
      <c r="A31" s="19"/>
      <c r="B31" s="20" t="s">
        <v>5</v>
      </c>
      <c r="C31" s="23">
        <f t="shared" si="0"/>
        <v>5405</v>
      </c>
      <c r="D31" s="43">
        <f t="shared" si="0"/>
        <v>583232</v>
      </c>
      <c r="E31" s="38">
        <v>3931</v>
      </c>
      <c r="F31" s="22">
        <v>291907</v>
      </c>
      <c r="G31" s="23">
        <v>790</v>
      </c>
      <c r="H31" s="24">
        <v>158394</v>
      </c>
      <c r="I31" s="21">
        <v>300</v>
      </c>
      <c r="J31" s="24">
        <v>9732</v>
      </c>
      <c r="K31" s="23">
        <v>4</v>
      </c>
      <c r="L31" s="24">
        <v>622</v>
      </c>
      <c r="M31" s="21">
        <v>59</v>
      </c>
      <c r="N31" s="24">
        <v>14802</v>
      </c>
      <c r="O31" s="23">
        <v>21</v>
      </c>
      <c r="P31" s="24">
        <v>13445</v>
      </c>
      <c r="Q31" s="21">
        <v>12</v>
      </c>
      <c r="R31" s="24">
        <v>10963</v>
      </c>
      <c r="S31" s="23">
        <v>4</v>
      </c>
      <c r="T31" s="24">
        <v>2545</v>
      </c>
      <c r="U31" s="21">
        <v>0</v>
      </c>
      <c r="V31" s="24">
        <v>0</v>
      </c>
      <c r="W31" s="23">
        <v>0</v>
      </c>
      <c r="X31" s="24">
        <v>0</v>
      </c>
      <c r="Y31" s="21">
        <v>0</v>
      </c>
      <c r="Z31" s="24">
        <v>0</v>
      </c>
      <c r="AA31" s="23">
        <v>284</v>
      </c>
      <c r="AB31" s="24">
        <v>80822</v>
      </c>
    </row>
    <row r="32" spans="1:28" s="6" customFormat="1" ht="16.5" customHeight="1">
      <c r="A32" s="19"/>
      <c r="B32" s="20" t="s">
        <v>6</v>
      </c>
      <c r="C32" s="23">
        <f t="shared" si="0"/>
        <v>2217</v>
      </c>
      <c r="D32" s="43">
        <f t="shared" si="0"/>
        <v>231332</v>
      </c>
      <c r="E32" s="38">
        <v>539</v>
      </c>
      <c r="F32" s="22">
        <v>40214</v>
      </c>
      <c r="G32" s="23">
        <v>106</v>
      </c>
      <c r="H32" s="24">
        <v>18917</v>
      </c>
      <c r="I32" s="21">
        <v>1185</v>
      </c>
      <c r="J32" s="24">
        <v>39787</v>
      </c>
      <c r="K32" s="53">
        <v>0</v>
      </c>
      <c r="L32" s="24">
        <v>44</v>
      </c>
      <c r="M32" s="21">
        <v>46</v>
      </c>
      <c r="N32" s="24">
        <v>13190</v>
      </c>
      <c r="O32" s="23">
        <v>39</v>
      </c>
      <c r="P32" s="24">
        <v>22100</v>
      </c>
      <c r="Q32" s="53">
        <v>9</v>
      </c>
      <c r="R32" s="24">
        <v>11043</v>
      </c>
      <c r="S32" s="45">
        <v>1</v>
      </c>
      <c r="T32" s="24">
        <v>379</v>
      </c>
      <c r="U32" s="21">
        <v>1</v>
      </c>
      <c r="V32" s="24">
        <v>476</v>
      </c>
      <c r="W32" s="23">
        <v>0</v>
      </c>
      <c r="X32" s="24">
        <v>0</v>
      </c>
      <c r="Y32" s="21">
        <v>0</v>
      </c>
      <c r="Z32" s="24">
        <v>0</v>
      </c>
      <c r="AA32" s="23">
        <v>291</v>
      </c>
      <c r="AB32" s="24">
        <v>85182</v>
      </c>
    </row>
    <row r="33" spans="1:28" s="6" customFormat="1" ht="16.5" customHeight="1">
      <c r="A33" s="19"/>
      <c r="B33" s="20" t="s">
        <v>7</v>
      </c>
      <c r="C33" s="23">
        <f t="shared" si="0"/>
        <v>1895</v>
      </c>
      <c r="D33" s="43">
        <f t="shared" si="0"/>
        <v>466545</v>
      </c>
      <c r="E33" s="38">
        <v>7</v>
      </c>
      <c r="F33" s="22">
        <v>356</v>
      </c>
      <c r="G33" s="23">
        <v>27</v>
      </c>
      <c r="H33" s="24">
        <v>6527</v>
      </c>
      <c r="I33" s="21">
        <v>962</v>
      </c>
      <c r="J33" s="24">
        <v>48594</v>
      </c>
      <c r="K33" s="45">
        <v>318</v>
      </c>
      <c r="L33" s="24">
        <v>67630</v>
      </c>
      <c r="M33" s="21">
        <v>34</v>
      </c>
      <c r="N33" s="24">
        <v>12513</v>
      </c>
      <c r="O33" s="23">
        <v>203</v>
      </c>
      <c r="P33" s="24">
        <v>158467</v>
      </c>
      <c r="Q33" s="21">
        <v>5</v>
      </c>
      <c r="R33" s="24">
        <v>7557</v>
      </c>
      <c r="S33" s="80">
        <v>0</v>
      </c>
      <c r="T33" s="24">
        <v>10</v>
      </c>
      <c r="U33" s="80">
        <v>0</v>
      </c>
      <c r="V33" s="24">
        <v>3</v>
      </c>
      <c r="W33" s="21">
        <v>13</v>
      </c>
      <c r="X33" s="24">
        <v>7867</v>
      </c>
      <c r="Y33" s="21">
        <v>0</v>
      </c>
      <c r="Z33" s="24">
        <v>0</v>
      </c>
      <c r="AA33" s="23">
        <v>326</v>
      </c>
      <c r="AB33" s="24">
        <v>157021</v>
      </c>
    </row>
    <row r="34" spans="1:28" s="6" customFormat="1" ht="16.5" customHeight="1">
      <c r="A34" s="19"/>
      <c r="B34" s="20" t="s">
        <v>8</v>
      </c>
      <c r="C34" s="23">
        <f t="shared" si="0"/>
        <v>16217</v>
      </c>
      <c r="D34" s="43">
        <f t="shared" si="0"/>
        <v>1317913</v>
      </c>
      <c r="E34" s="38">
        <v>2</v>
      </c>
      <c r="F34" s="22">
        <v>107</v>
      </c>
      <c r="G34" s="23">
        <v>55</v>
      </c>
      <c r="H34" s="24">
        <v>12799</v>
      </c>
      <c r="I34" s="21">
        <v>604</v>
      </c>
      <c r="J34" s="24">
        <v>167885</v>
      </c>
      <c r="K34" s="23">
        <v>253</v>
      </c>
      <c r="L34" s="24">
        <v>69622</v>
      </c>
      <c r="M34" s="21">
        <v>9</v>
      </c>
      <c r="N34" s="24">
        <v>4071</v>
      </c>
      <c r="O34" s="23">
        <v>53</v>
      </c>
      <c r="P34" s="24">
        <v>35621</v>
      </c>
      <c r="Q34" s="21">
        <v>8</v>
      </c>
      <c r="R34" s="24">
        <v>9865</v>
      </c>
      <c r="S34" s="80">
        <v>0</v>
      </c>
      <c r="T34" s="24">
        <v>2</v>
      </c>
      <c r="U34" s="21">
        <v>0</v>
      </c>
      <c r="V34" s="24">
        <v>0</v>
      </c>
      <c r="W34" s="23">
        <v>14173</v>
      </c>
      <c r="X34" s="24">
        <v>728125</v>
      </c>
      <c r="Y34" s="21">
        <v>0</v>
      </c>
      <c r="Z34" s="24">
        <v>0</v>
      </c>
      <c r="AA34" s="23">
        <v>1060</v>
      </c>
      <c r="AB34" s="24">
        <v>289816</v>
      </c>
    </row>
    <row r="35" spans="1:28" s="6" customFormat="1" ht="16.5" customHeight="1">
      <c r="A35" s="19"/>
      <c r="B35" s="20" t="s">
        <v>9</v>
      </c>
      <c r="C35" s="23">
        <f t="shared" si="0"/>
        <v>36721</v>
      </c>
      <c r="D35" s="43">
        <f t="shared" si="0"/>
        <v>3303505</v>
      </c>
      <c r="E35" s="38">
        <v>9582</v>
      </c>
      <c r="F35" s="22">
        <v>449713</v>
      </c>
      <c r="G35" s="23">
        <v>393</v>
      </c>
      <c r="H35" s="24">
        <v>43563</v>
      </c>
      <c r="I35" s="21">
        <v>6191</v>
      </c>
      <c r="J35" s="24">
        <v>743208</v>
      </c>
      <c r="K35" s="23">
        <v>4528</v>
      </c>
      <c r="L35" s="24">
        <v>999646</v>
      </c>
      <c r="M35" s="21">
        <v>34</v>
      </c>
      <c r="N35" s="24">
        <v>4993</v>
      </c>
      <c r="O35" s="23">
        <v>78</v>
      </c>
      <c r="P35" s="24">
        <v>32788</v>
      </c>
      <c r="Q35" s="21">
        <v>7</v>
      </c>
      <c r="R35" s="24">
        <v>8723</v>
      </c>
      <c r="S35" s="80">
        <v>0</v>
      </c>
      <c r="T35" s="24">
        <v>66</v>
      </c>
      <c r="U35" s="45">
        <v>8286</v>
      </c>
      <c r="V35" s="24">
        <v>516097</v>
      </c>
      <c r="W35" s="23">
        <v>6006</v>
      </c>
      <c r="X35" s="24">
        <v>291037</v>
      </c>
      <c r="Y35" s="21">
        <v>0</v>
      </c>
      <c r="Z35" s="24">
        <v>0</v>
      </c>
      <c r="AA35" s="23">
        <v>1616</v>
      </c>
      <c r="AB35" s="24">
        <v>213671</v>
      </c>
    </row>
    <row r="36" spans="1:28" s="6" customFormat="1" ht="16.5" customHeight="1">
      <c r="A36" s="19"/>
      <c r="B36" s="20" t="s">
        <v>10</v>
      </c>
      <c r="C36" s="23">
        <f t="shared" si="0"/>
        <v>25894</v>
      </c>
      <c r="D36" s="43">
        <f t="shared" si="0"/>
        <v>2547934</v>
      </c>
      <c r="E36" s="38">
        <v>11299</v>
      </c>
      <c r="F36" s="22">
        <v>516877</v>
      </c>
      <c r="G36" s="23">
        <v>524</v>
      </c>
      <c r="H36" s="24">
        <v>133884</v>
      </c>
      <c r="I36" s="21">
        <v>8898</v>
      </c>
      <c r="J36" s="24">
        <v>786228</v>
      </c>
      <c r="K36" s="23">
        <v>3151</v>
      </c>
      <c r="L36" s="24">
        <v>715272</v>
      </c>
      <c r="M36" s="21">
        <v>39</v>
      </c>
      <c r="N36" s="24">
        <v>5618</v>
      </c>
      <c r="O36" s="23">
        <v>28</v>
      </c>
      <c r="P36" s="24">
        <v>14085</v>
      </c>
      <c r="Q36" s="21">
        <v>7</v>
      </c>
      <c r="R36" s="24">
        <v>12159</v>
      </c>
      <c r="S36" s="78">
        <v>0</v>
      </c>
      <c r="T36" s="24">
        <v>49</v>
      </c>
      <c r="U36" s="46">
        <v>1030</v>
      </c>
      <c r="V36" s="24">
        <v>274474</v>
      </c>
      <c r="W36" s="23">
        <v>330</v>
      </c>
      <c r="X36" s="24">
        <v>13819</v>
      </c>
      <c r="Y36" s="46">
        <v>19</v>
      </c>
      <c r="Z36" s="24">
        <v>26445</v>
      </c>
      <c r="AA36" s="23">
        <v>569</v>
      </c>
      <c r="AB36" s="24">
        <v>49024</v>
      </c>
    </row>
    <row r="37" spans="1:28" s="6" customFormat="1" ht="16.5" customHeight="1">
      <c r="A37" s="19"/>
      <c r="B37" s="20" t="s">
        <v>11</v>
      </c>
      <c r="C37" s="23">
        <f t="shared" si="0"/>
        <v>15242</v>
      </c>
      <c r="D37" s="43">
        <f t="shared" si="0"/>
        <v>1489738</v>
      </c>
      <c r="E37" s="38">
        <v>8859</v>
      </c>
      <c r="F37" s="22">
        <v>596912</v>
      </c>
      <c r="G37" s="23">
        <v>578</v>
      </c>
      <c r="H37" s="24">
        <v>178291</v>
      </c>
      <c r="I37" s="21">
        <v>5067</v>
      </c>
      <c r="J37" s="24">
        <v>409264</v>
      </c>
      <c r="K37" s="23">
        <v>141</v>
      </c>
      <c r="L37" s="24">
        <v>37457</v>
      </c>
      <c r="M37" s="21">
        <v>66</v>
      </c>
      <c r="N37" s="24">
        <v>35095</v>
      </c>
      <c r="O37" s="45">
        <v>1</v>
      </c>
      <c r="P37" s="24">
        <v>600</v>
      </c>
      <c r="Q37" s="21">
        <v>35</v>
      </c>
      <c r="R37" s="24">
        <v>47188</v>
      </c>
      <c r="S37" s="78">
        <v>0</v>
      </c>
      <c r="T37" s="24">
        <v>146</v>
      </c>
      <c r="U37" s="21">
        <v>0</v>
      </c>
      <c r="V37" s="24">
        <v>0</v>
      </c>
      <c r="W37" s="45">
        <v>0</v>
      </c>
      <c r="X37" s="24">
        <v>1</v>
      </c>
      <c r="Y37" s="21">
        <v>101</v>
      </c>
      <c r="Z37" s="24">
        <v>149857</v>
      </c>
      <c r="AA37" s="23">
        <v>394</v>
      </c>
      <c r="AB37" s="24">
        <v>34927</v>
      </c>
    </row>
    <row r="38" spans="1:28" s="6" customFormat="1" ht="16.5" customHeight="1">
      <c r="A38" s="25"/>
      <c r="B38" s="26" t="s">
        <v>12</v>
      </c>
      <c r="C38" s="31">
        <f t="shared" si="0"/>
        <v>4997</v>
      </c>
      <c r="D38" s="44">
        <f t="shared" si="0"/>
        <v>730610</v>
      </c>
      <c r="E38" s="39">
        <v>4072</v>
      </c>
      <c r="F38" s="34">
        <v>311658</v>
      </c>
      <c r="G38" s="31">
        <v>641</v>
      </c>
      <c r="H38" s="32">
        <v>260026</v>
      </c>
      <c r="I38" s="33">
        <v>0</v>
      </c>
      <c r="J38" s="32">
        <v>0</v>
      </c>
      <c r="K38" s="31">
        <v>12</v>
      </c>
      <c r="L38" s="32">
        <v>2184</v>
      </c>
      <c r="M38" s="33">
        <v>80</v>
      </c>
      <c r="N38" s="32">
        <v>55089</v>
      </c>
      <c r="O38" s="31">
        <v>0</v>
      </c>
      <c r="P38" s="32">
        <v>0</v>
      </c>
      <c r="Q38" s="33">
        <v>27</v>
      </c>
      <c r="R38" s="32">
        <v>38464</v>
      </c>
      <c r="S38" s="79">
        <v>0</v>
      </c>
      <c r="T38" s="32">
        <v>74</v>
      </c>
      <c r="U38" s="33">
        <v>0</v>
      </c>
      <c r="V38" s="32">
        <v>0</v>
      </c>
      <c r="W38" s="33">
        <v>0</v>
      </c>
      <c r="X38" s="32">
        <v>0</v>
      </c>
      <c r="Y38" s="33">
        <v>0</v>
      </c>
      <c r="Z38" s="32">
        <v>0</v>
      </c>
      <c r="AA38" s="31">
        <v>165</v>
      </c>
      <c r="AB38" s="32">
        <v>63115</v>
      </c>
    </row>
    <row r="39" spans="1:4" s="74" customFormat="1" ht="16.5" customHeight="1" thickBot="1">
      <c r="A39" s="76" t="s">
        <v>57</v>
      </c>
      <c r="B39" s="77"/>
      <c r="C39" s="77"/>
      <c r="D39" s="77"/>
    </row>
    <row r="40" spans="1:28" s="72" customFormat="1" ht="13.5">
      <c r="A40" s="114" t="s">
        <v>78</v>
      </c>
      <c r="B40" s="115"/>
      <c r="C40" s="71">
        <f>SUM(C27:C38)</f>
        <v>130571</v>
      </c>
      <c r="D40" s="71">
        <f>SUM(D27:D38)+1</f>
        <v>12777794</v>
      </c>
      <c r="E40" s="71">
        <f>SUM(E27:E38)</f>
        <v>56430</v>
      </c>
      <c r="F40" s="71">
        <f>SUM(F27:F38)-1</f>
        <v>3445393</v>
      </c>
      <c r="G40" s="71">
        <f>SUM(G27:G38)</f>
        <v>5709</v>
      </c>
      <c r="H40" s="71">
        <f>SUM(H27:H38)+1</f>
        <v>1339390</v>
      </c>
      <c r="I40" s="71">
        <f>SUM(I27:I38)</f>
        <v>23207</v>
      </c>
      <c r="J40" s="71">
        <f>SUM(J27:J38)-1</f>
        <v>2204697</v>
      </c>
      <c r="K40" s="71">
        <f>SUM(K27:K38)+2</f>
        <v>8431</v>
      </c>
      <c r="L40" s="71">
        <f>SUM(L27:L38)+1</f>
        <v>1895592</v>
      </c>
      <c r="M40" s="71">
        <f>SUM(M27:M38)</f>
        <v>610</v>
      </c>
      <c r="N40" s="71">
        <f>SUM(N27:N38)-3</f>
        <v>220837</v>
      </c>
      <c r="O40" s="71">
        <f>SUM(O27:O38)+1</f>
        <v>431</v>
      </c>
      <c r="P40" s="71">
        <f>SUM(P27:P38)</f>
        <v>285937</v>
      </c>
      <c r="Q40" s="71">
        <f>SUM(Q27:Q38)</f>
        <v>166</v>
      </c>
      <c r="R40" s="71">
        <f>SUM(R27:R38)+1</f>
        <v>212345</v>
      </c>
      <c r="S40" s="71">
        <f>SUM(S27:S38)+1</f>
        <v>36</v>
      </c>
      <c r="T40" s="71">
        <f>SUM(T27:T38)-1</f>
        <v>22854</v>
      </c>
      <c r="U40" s="71">
        <f>SUM(U27:U38)</f>
        <v>9317</v>
      </c>
      <c r="V40" s="71">
        <f>SUM(V27:V38)-1</f>
        <v>791049</v>
      </c>
      <c r="W40" s="71">
        <f>SUM(W27:W38)+1</f>
        <v>20523</v>
      </c>
      <c r="X40" s="71">
        <f>SUM(X27:X38)</f>
        <v>1040849</v>
      </c>
      <c r="Y40" s="71">
        <f>SUM(Y27:Y38)</f>
        <v>120</v>
      </c>
      <c r="Z40" s="71">
        <f>SUM(Z27:Z38)-1</f>
        <v>176301</v>
      </c>
      <c r="AA40" s="71">
        <f>SUM(AA27:AA38)-5</f>
        <v>5591</v>
      </c>
      <c r="AB40" s="71">
        <f>SUM(AB27:AB38)+6</f>
        <v>1142550</v>
      </c>
    </row>
    <row r="41" spans="1:28" s="74" customFormat="1" ht="13.5">
      <c r="A41" s="116" t="s">
        <v>58</v>
      </c>
      <c r="B41" s="117"/>
      <c r="C41" s="73">
        <f>SUM(C15:C26)</f>
        <v>110668</v>
      </c>
      <c r="D41" s="73">
        <f>SUM(D15:D26)-1</f>
        <v>9021716</v>
      </c>
      <c r="E41" s="73">
        <f>SUM(E15:E26)-1</f>
        <v>65699</v>
      </c>
      <c r="F41" s="73">
        <f>SUM(F15:F26)+1</f>
        <v>3137775</v>
      </c>
      <c r="G41" s="73">
        <f>SUM(G15:G26)+1</f>
        <v>7287</v>
      </c>
      <c r="H41" s="73">
        <f>SUM(H15:H26)-2</f>
        <v>1124322</v>
      </c>
      <c r="I41" s="73">
        <f>SUM(I15:I26)</f>
        <v>15196</v>
      </c>
      <c r="J41" s="73">
        <f>SUM(J15:J26)-1</f>
        <v>1527694</v>
      </c>
      <c r="K41" s="73">
        <f>SUM(K15:K26)</f>
        <v>3001</v>
      </c>
      <c r="L41" s="73">
        <f>SUM(L15:L26)</f>
        <v>709906</v>
      </c>
      <c r="M41" s="73">
        <f>SUM(M15:M26)-1</f>
        <v>986</v>
      </c>
      <c r="N41" s="73">
        <f>SUM(N15:N26)-1</f>
        <v>319190</v>
      </c>
      <c r="O41" s="73">
        <f>SUM(O15:O26)+1</f>
        <v>268</v>
      </c>
      <c r="P41" s="73">
        <f>SUM(P15:P26)-1</f>
        <v>173234</v>
      </c>
      <c r="Q41" s="73">
        <f>SUM(Q15:Q26)+1</f>
        <v>181</v>
      </c>
      <c r="R41" s="73">
        <f>SUM(R15:R26)+1</f>
        <v>178894</v>
      </c>
      <c r="S41" s="73">
        <f>SUM(S15:S26)</f>
        <v>116</v>
      </c>
      <c r="T41" s="73">
        <f>SUM(T15:T26)</f>
        <v>38062</v>
      </c>
      <c r="U41" s="73">
        <f>SUM(U15:U26)</f>
        <v>2695</v>
      </c>
      <c r="V41" s="73">
        <f>SUM(V15:V26)</f>
        <v>400759</v>
      </c>
      <c r="W41" s="73">
        <f>SUM(W15:W26)+1</f>
        <v>9483</v>
      </c>
      <c r="X41" s="73">
        <f>SUM(X15:X26)+1</f>
        <v>327673</v>
      </c>
      <c r="Y41" s="73">
        <f>SUM(Y15:Y26)</f>
        <v>196</v>
      </c>
      <c r="Z41" s="73">
        <f>SUM(Z15:Z26)+1</f>
        <v>342030</v>
      </c>
      <c r="AA41" s="73">
        <f>SUM(AA15:AA26)-2</f>
        <v>5560</v>
      </c>
      <c r="AB41" s="73">
        <f>SUM(AB15:AB26)</f>
        <v>742177</v>
      </c>
    </row>
    <row r="42" spans="1:28" s="74" customFormat="1" ht="14.25" thickBot="1">
      <c r="A42" s="118" t="s">
        <v>56</v>
      </c>
      <c r="B42" s="119"/>
      <c r="C42" s="75">
        <f>C40-C41</f>
        <v>19903</v>
      </c>
      <c r="D42" s="75">
        <f aca="true" t="shared" si="1" ref="D42:AA42">D40-D41</f>
        <v>3756078</v>
      </c>
      <c r="E42" s="75">
        <f>E40-E41</f>
        <v>-9269</v>
      </c>
      <c r="F42" s="75">
        <f t="shared" si="1"/>
        <v>307618</v>
      </c>
      <c r="G42" s="75">
        <f t="shared" si="1"/>
        <v>-1578</v>
      </c>
      <c r="H42" s="75">
        <f>H40-H41</f>
        <v>215068</v>
      </c>
      <c r="I42" s="75">
        <f t="shared" si="1"/>
        <v>8011</v>
      </c>
      <c r="J42" s="75">
        <f t="shared" si="1"/>
        <v>677003</v>
      </c>
      <c r="K42" s="75">
        <f t="shared" si="1"/>
        <v>5430</v>
      </c>
      <c r="L42" s="75">
        <f t="shared" si="1"/>
        <v>1185686</v>
      </c>
      <c r="M42" s="75">
        <f t="shared" si="1"/>
        <v>-376</v>
      </c>
      <c r="N42" s="75">
        <f t="shared" si="1"/>
        <v>-98353</v>
      </c>
      <c r="O42" s="75">
        <f t="shared" si="1"/>
        <v>163</v>
      </c>
      <c r="P42" s="75">
        <f t="shared" si="1"/>
        <v>112703</v>
      </c>
      <c r="Q42" s="75">
        <f t="shared" si="1"/>
        <v>-15</v>
      </c>
      <c r="R42" s="75">
        <f t="shared" si="1"/>
        <v>33451</v>
      </c>
      <c r="S42" s="75">
        <f t="shared" si="1"/>
        <v>-80</v>
      </c>
      <c r="T42" s="75">
        <f t="shared" si="1"/>
        <v>-15208</v>
      </c>
      <c r="U42" s="75">
        <f t="shared" si="1"/>
        <v>6622</v>
      </c>
      <c r="V42" s="75">
        <f t="shared" si="1"/>
        <v>390290</v>
      </c>
      <c r="W42" s="75">
        <f t="shared" si="1"/>
        <v>11040</v>
      </c>
      <c r="X42" s="75">
        <f t="shared" si="1"/>
        <v>713176</v>
      </c>
      <c r="Y42" s="75">
        <f t="shared" si="1"/>
        <v>-76</v>
      </c>
      <c r="Z42" s="75">
        <f t="shared" si="1"/>
        <v>-165729</v>
      </c>
      <c r="AA42" s="75">
        <f t="shared" si="1"/>
        <v>31</v>
      </c>
      <c r="AB42" s="75">
        <f>AB40-AB41</f>
        <v>400373</v>
      </c>
    </row>
    <row r="43" s="6" customFormat="1" ht="16.5" customHeight="1">
      <c r="A43" s="6" t="s">
        <v>19</v>
      </c>
    </row>
    <row r="44" s="6" customFormat="1" ht="16.5" customHeight="1">
      <c r="A44" s="6" t="s">
        <v>20</v>
      </c>
    </row>
    <row r="45" s="1" customFormat="1" ht="15" customHeight="1"/>
    <row r="46" s="1" customFormat="1" ht="15" customHeight="1"/>
    <row r="47" ht="13.5">
      <c r="E47" s="57"/>
    </row>
  </sheetData>
  <sheetProtection/>
  <mergeCells count="17">
    <mergeCell ref="A40:B40"/>
    <mergeCell ref="A41:B41"/>
    <mergeCell ref="A42:B42"/>
    <mergeCell ref="Y4:Z4"/>
    <mergeCell ref="AA4:AB4"/>
    <mergeCell ref="M4:N4"/>
    <mergeCell ref="O4:P4"/>
    <mergeCell ref="Q4:R4"/>
    <mergeCell ref="S4:T4"/>
    <mergeCell ref="U4:V4"/>
    <mergeCell ref="W4:X4"/>
    <mergeCell ref="A4:B5"/>
    <mergeCell ref="C4:D4"/>
    <mergeCell ref="E4:F4"/>
    <mergeCell ref="G4:H4"/>
    <mergeCell ref="I4:J4"/>
    <mergeCell ref="K4:L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7.59765625" style="56" customWidth="1"/>
    <col min="2" max="2" width="5.5" style="56" customWidth="1"/>
    <col min="3" max="3" width="10.5" style="56" bestFit="1" customWidth="1"/>
    <col min="4" max="4" width="13.8984375" style="56" bestFit="1" customWidth="1"/>
    <col min="5" max="5" width="8.59765625" style="56" customWidth="1"/>
    <col min="6" max="6" width="11.8984375" style="56" customWidth="1"/>
    <col min="7" max="7" width="8.59765625" style="56" customWidth="1"/>
    <col min="8" max="8" width="11.8984375" style="56" customWidth="1"/>
    <col min="9" max="9" width="8.59765625" style="56" customWidth="1"/>
    <col min="10" max="10" width="11.8984375" style="56" customWidth="1"/>
    <col min="11" max="11" width="8.59765625" style="56" customWidth="1"/>
    <col min="12" max="12" width="11.8984375" style="56" customWidth="1"/>
    <col min="13" max="13" width="8.59765625" style="56" customWidth="1"/>
    <col min="14" max="14" width="11.8984375" style="56" customWidth="1"/>
    <col min="15" max="15" width="8.59765625" style="56" customWidth="1"/>
    <col min="16" max="16" width="11.8984375" style="56" customWidth="1"/>
    <col min="17" max="17" width="8.59765625" style="56" customWidth="1"/>
    <col min="18" max="18" width="11.8984375" style="56" customWidth="1"/>
    <col min="19" max="19" width="8.59765625" style="56" customWidth="1"/>
    <col min="20" max="20" width="11.8984375" style="56" customWidth="1"/>
    <col min="21" max="21" width="8.59765625" style="56" customWidth="1"/>
    <col min="22" max="22" width="11.8984375" style="56" customWidth="1"/>
    <col min="23" max="23" width="8.59765625" style="56" customWidth="1"/>
    <col min="24" max="24" width="11.8984375" style="56" customWidth="1"/>
    <col min="25" max="25" width="8.59765625" style="56" customWidth="1"/>
    <col min="26" max="26" width="11.8984375" style="56" customWidth="1"/>
    <col min="27" max="27" width="8.59765625" style="56" customWidth="1"/>
    <col min="28" max="28" width="11.8984375" style="56" customWidth="1"/>
    <col min="29" max="16384" width="9" style="56" customWidth="1"/>
  </cols>
  <sheetData>
    <row r="1" ht="16.5" customHeight="1">
      <c r="A1" s="5" t="s">
        <v>79</v>
      </c>
    </row>
    <row r="2" ht="13.5" customHeight="1"/>
    <row r="3" s="6" customFormat="1" ht="16.5" customHeight="1">
      <c r="A3" s="6" t="s">
        <v>31</v>
      </c>
    </row>
    <row r="4" spans="1:28" s="6" customFormat="1" ht="18.75" customHeight="1">
      <c r="A4" s="120" t="s">
        <v>18</v>
      </c>
      <c r="B4" s="121"/>
      <c r="C4" s="124" t="s">
        <v>0</v>
      </c>
      <c r="D4" s="125"/>
      <c r="E4" s="126" t="s">
        <v>46</v>
      </c>
      <c r="F4" s="113"/>
      <c r="G4" s="112" t="s">
        <v>47</v>
      </c>
      <c r="H4" s="113"/>
      <c r="I4" s="112" t="s">
        <v>48</v>
      </c>
      <c r="J4" s="113"/>
      <c r="K4" s="112" t="s">
        <v>23</v>
      </c>
      <c r="L4" s="113"/>
      <c r="M4" s="112" t="s">
        <v>24</v>
      </c>
      <c r="N4" s="113"/>
      <c r="O4" s="112" t="s">
        <v>15</v>
      </c>
      <c r="P4" s="113"/>
      <c r="Q4" s="112" t="s">
        <v>25</v>
      </c>
      <c r="R4" s="113"/>
      <c r="S4" s="112" t="s">
        <v>54</v>
      </c>
      <c r="T4" s="113"/>
      <c r="U4" s="112" t="s">
        <v>55</v>
      </c>
      <c r="V4" s="113"/>
      <c r="W4" s="112" t="s">
        <v>52</v>
      </c>
      <c r="X4" s="113"/>
      <c r="Y4" s="112" t="s">
        <v>53</v>
      </c>
      <c r="Z4" s="113"/>
      <c r="AA4" s="112" t="s">
        <v>30</v>
      </c>
      <c r="AB4" s="113"/>
    </row>
    <row r="5" spans="1:28" s="6" customFormat="1" ht="18.75" customHeight="1">
      <c r="A5" s="122"/>
      <c r="B5" s="123"/>
      <c r="C5" s="7" t="s">
        <v>16</v>
      </c>
      <c r="D5" s="40" t="s">
        <v>17</v>
      </c>
      <c r="E5" s="35" t="s">
        <v>16</v>
      </c>
      <c r="F5" s="10" t="s">
        <v>17</v>
      </c>
      <c r="G5" s="7" t="s">
        <v>16</v>
      </c>
      <c r="H5" s="8" t="s">
        <v>17</v>
      </c>
      <c r="I5" s="9" t="s">
        <v>16</v>
      </c>
      <c r="J5" s="10" t="s">
        <v>17</v>
      </c>
      <c r="K5" s="7" t="s">
        <v>16</v>
      </c>
      <c r="L5" s="8" t="s">
        <v>17</v>
      </c>
      <c r="M5" s="9" t="s">
        <v>16</v>
      </c>
      <c r="N5" s="10" t="s">
        <v>17</v>
      </c>
      <c r="O5" s="7" t="s">
        <v>16</v>
      </c>
      <c r="P5" s="8" t="s">
        <v>17</v>
      </c>
      <c r="Q5" s="9" t="s">
        <v>16</v>
      </c>
      <c r="R5" s="8" t="s">
        <v>17</v>
      </c>
      <c r="S5" s="7" t="s">
        <v>16</v>
      </c>
      <c r="T5" s="8" t="s">
        <v>17</v>
      </c>
      <c r="U5" s="9" t="s">
        <v>16</v>
      </c>
      <c r="V5" s="10" t="s">
        <v>17</v>
      </c>
      <c r="W5" s="7" t="s">
        <v>16</v>
      </c>
      <c r="X5" s="8" t="s">
        <v>17</v>
      </c>
      <c r="Y5" s="9" t="s">
        <v>16</v>
      </c>
      <c r="Z5" s="8" t="s">
        <v>17</v>
      </c>
      <c r="AA5" s="7" t="s">
        <v>16</v>
      </c>
      <c r="AB5" s="8" t="s">
        <v>17</v>
      </c>
    </row>
    <row r="6" spans="1:28" s="6" customFormat="1" ht="18.75" customHeight="1">
      <c r="A6" s="11" t="s">
        <v>71</v>
      </c>
      <c r="B6" s="12" t="s">
        <v>13</v>
      </c>
      <c r="C6" s="27">
        <v>114577</v>
      </c>
      <c r="D6" s="41">
        <v>11911835</v>
      </c>
      <c r="E6" s="36">
        <v>53813</v>
      </c>
      <c r="F6" s="30">
        <v>3896698</v>
      </c>
      <c r="G6" s="27">
        <v>3869</v>
      </c>
      <c r="H6" s="28">
        <v>966494</v>
      </c>
      <c r="I6" s="29">
        <v>28526</v>
      </c>
      <c r="J6" s="28">
        <v>1985504</v>
      </c>
      <c r="K6" s="27">
        <v>3602</v>
      </c>
      <c r="L6" s="28">
        <v>587516</v>
      </c>
      <c r="M6" s="29">
        <v>1345</v>
      </c>
      <c r="N6" s="28">
        <v>705161</v>
      </c>
      <c r="O6" s="27">
        <v>1579</v>
      </c>
      <c r="P6" s="28">
        <v>856075</v>
      </c>
      <c r="Q6" s="29">
        <v>118</v>
      </c>
      <c r="R6" s="28">
        <v>212500</v>
      </c>
      <c r="S6" s="27">
        <v>741</v>
      </c>
      <c r="T6" s="28">
        <v>140828</v>
      </c>
      <c r="U6" s="29">
        <v>3364</v>
      </c>
      <c r="V6" s="28">
        <v>78773</v>
      </c>
      <c r="W6" s="27">
        <v>2280</v>
      </c>
      <c r="X6" s="28">
        <v>43754</v>
      </c>
      <c r="Y6" s="29">
        <v>251</v>
      </c>
      <c r="Z6" s="28">
        <v>257030</v>
      </c>
      <c r="AA6" s="27">
        <v>15089</v>
      </c>
      <c r="AB6" s="28">
        <v>2181502</v>
      </c>
    </row>
    <row r="7" spans="1:28" s="6" customFormat="1" ht="18.75" customHeight="1">
      <c r="A7" s="19" t="s">
        <v>70</v>
      </c>
      <c r="B7" s="48" t="s">
        <v>13</v>
      </c>
      <c r="C7" s="23">
        <v>137948</v>
      </c>
      <c r="D7" s="43">
        <v>14562957</v>
      </c>
      <c r="E7" s="38">
        <v>55786</v>
      </c>
      <c r="F7" s="22">
        <v>4489157</v>
      </c>
      <c r="G7" s="23">
        <v>3310</v>
      </c>
      <c r="H7" s="24">
        <v>992926</v>
      </c>
      <c r="I7" s="21">
        <v>27899</v>
      </c>
      <c r="J7" s="24">
        <v>2081572</v>
      </c>
      <c r="K7" s="23">
        <v>3869</v>
      </c>
      <c r="L7" s="24">
        <v>893617</v>
      </c>
      <c r="M7" s="21">
        <v>1490</v>
      </c>
      <c r="N7" s="24">
        <v>754333</v>
      </c>
      <c r="O7" s="23">
        <v>1487</v>
      </c>
      <c r="P7" s="24">
        <v>916744</v>
      </c>
      <c r="Q7" s="21">
        <v>108</v>
      </c>
      <c r="R7" s="24">
        <v>195023</v>
      </c>
      <c r="S7" s="23">
        <v>725</v>
      </c>
      <c r="T7" s="24">
        <v>89569</v>
      </c>
      <c r="U7" s="21">
        <v>1891</v>
      </c>
      <c r="V7" s="24">
        <v>144705</v>
      </c>
      <c r="W7" s="23">
        <v>16112</v>
      </c>
      <c r="X7" s="24">
        <v>382795</v>
      </c>
      <c r="Y7" s="46">
        <v>360</v>
      </c>
      <c r="Z7" s="24">
        <v>326991</v>
      </c>
      <c r="AA7" s="23">
        <v>24912</v>
      </c>
      <c r="AB7" s="24">
        <v>3295525</v>
      </c>
    </row>
    <row r="8" spans="1:28" s="6" customFormat="1" ht="18.75" customHeight="1">
      <c r="A8" s="19" t="s">
        <v>69</v>
      </c>
      <c r="B8" s="48" t="s">
        <v>13</v>
      </c>
      <c r="C8" s="23">
        <v>107569</v>
      </c>
      <c r="D8" s="43">
        <v>12723109</v>
      </c>
      <c r="E8" s="38">
        <v>50408</v>
      </c>
      <c r="F8" s="22">
        <v>4285036</v>
      </c>
      <c r="G8" s="23">
        <v>3511</v>
      </c>
      <c r="H8" s="24">
        <v>1040834</v>
      </c>
      <c r="I8" s="21">
        <v>34098</v>
      </c>
      <c r="J8" s="24">
        <v>2522079</v>
      </c>
      <c r="K8" s="23">
        <v>4992</v>
      </c>
      <c r="L8" s="24">
        <v>660467</v>
      </c>
      <c r="M8" s="21">
        <v>1176</v>
      </c>
      <c r="N8" s="24">
        <v>718806</v>
      </c>
      <c r="O8" s="23">
        <v>1422</v>
      </c>
      <c r="P8" s="24">
        <v>853981</v>
      </c>
      <c r="Q8" s="21">
        <v>103</v>
      </c>
      <c r="R8" s="24">
        <v>171971</v>
      </c>
      <c r="S8" s="23">
        <v>482</v>
      </c>
      <c r="T8" s="24">
        <v>114497</v>
      </c>
      <c r="U8" s="21">
        <v>794</v>
      </c>
      <c r="V8" s="24">
        <v>72318</v>
      </c>
      <c r="W8" s="23">
        <v>52</v>
      </c>
      <c r="X8" s="24">
        <v>2180</v>
      </c>
      <c r="Y8" s="46">
        <v>250</v>
      </c>
      <c r="Z8" s="24">
        <v>366073</v>
      </c>
      <c r="AA8" s="23">
        <v>10282</v>
      </c>
      <c r="AB8" s="24">
        <v>1914866</v>
      </c>
    </row>
    <row r="9" spans="1:28" s="6" customFormat="1" ht="18.75" customHeight="1">
      <c r="A9" s="19" t="s">
        <v>68</v>
      </c>
      <c r="B9" s="48" t="s">
        <v>13</v>
      </c>
      <c r="C9" s="23">
        <v>125679</v>
      </c>
      <c r="D9" s="43">
        <v>15281221</v>
      </c>
      <c r="E9" s="38">
        <v>66253</v>
      </c>
      <c r="F9" s="22">
        <v>6179462</v>
      </c>
      <c r="G9" s="23">
        <v>3669</v>
      </c>
      <c r="H9" s="24">
        <v>1200338</v>
      </c>
      <c r="I9" s="21">
        <v>30698</v>
      </c>
      <c r="J9" s="24">
        <v>2575115</v>
      </c>
      <c r="K9" s="23">
        <v>1852</v>
      </c>
      <c r="L9" s="24">
        <v>257255</v>
      </c>
      <c r="M9" s="21">
        <v>972</v>
      </c>
      <c r="N9" s="24">
        <v>586883</v>
      </c>
      <c r="O9" s="23">
        <v>1462</v>
      </c>
      <c r="P9" s="24">
        <v>895714</v>
      </c>
      <c r="Q9" s="21">
        <v>32</v>
      </c>
      <c r="R9" s="24">
        <v>54093</v>
      </c>
      <c r="S9" s="23">
        <v>233</v>
      </c>
      <c r="T9" s="24">
        <v>70889</v>
      </c>
      <c r="U9" s="21">
        <v>19</v>
      </c>
      <c r="V9" s="24">
        <v>2464</v>
      </c>
      <c r="W9" s="23">
        <v>681</v>
      </c>
      <c r="X9" s="24">
        <v>20030</v>
      </c>
      <c r="Y9" s="46">
        <v>102</v>
      </c>
      <c r="Z9" s="24">
        <v>191992</v>
      </c>
      <c r="AA9" s="23">
        <v>19706</v>
      </c>
      <c r="AB9" s="24">
        <v>3246986</v>
      </c>
    </row>
    <row r="10" spans="1:28" s="6" customFormat="1" ht="18.75" customHeight="1">
      <c r="A10" s="19" t="s">
        <v>67</v>
      </c>
      <c r="B10" s="48" t="s">
        <v>13</v>
      </c>
      <c r="C10" s="23">
        <v>128052</v>
      </c>
      <c r="D10" s="43">
        <v>12154590</v>
      </c>
      <c r="E10" s="38">
        <v>55825</v>
      </c>
      <c r="F10" s="22">
        <v>3325149</v>
      </c>
      <c r="G10" s="23">
        <v>3603</v>
      </c>
      <c r="H10" s="24">
        <v>926514</v>
      </c>
      <c r="I10" s="21">
        <v>28797</v>
      </c>
      <c r="J10" s="24">
        <v>2548975</v>
      </c>
      <c r="K10" s="23">
        <v>4772</v>
      </c>
      <c r="L10" s="24">
        <v>619477</v>
      </c>
      <c r="M10" s="21">
        <v>863</v>
      </c>
      <c r="N10" s="24">
        <v>414570</v>
      </c>
      <c r="O10" s="23">
        <v>1019</v>
      </c>
      <c r="P10" s="24">
        <v>615953</v>
      </c>
      <c r="Q10" s="21">
        <v>72</v>
      </c>
      <c r="R10" s="24">
        <v>121419</v>
      </c>
      <c r="S10" s="23">
        <v>958</v>
      </c>
      <c r="T10" s="24">
        <v>176614</v>
      </c>
      <c r="U10" s="21">
        <v>0</v>
      </c>
      <c r="V10" s="24">
        <v>0</v>
      </c>
      <c r="W10" s="23">
        <v>7138</v>
      </c>
      <c r="X10" s="24">
        <v>123775</v>
      </c>
      <c r="Y10" s="46">
        <v>252</v>
      </c>
      <c r="Z10" s="24">
        <v>250170</v>
      </c>
      <c r="AA10" s="23">
        <v>24753</v>
      </c>
      <c r="AB10" s="24">
        <v>3031974</v>
      </c>
    </row>
    <row r="11" spans="1:28" s="6" customFormat="1" ht="18.75" customHeight="1">
      <c r="A11" s="19" t="s">
        <v>66</v>
      </c>
      <c r="B11" s="48" t="s">
        <v>13</v>
      </c>
      <c r="C11" s="23">
        <v>113990</v>
      </c>
      <c r="D11" s="43">
        <v>11357761</v>
      </c>
      <c r="E11" s="38">
        <v>64240</v>
      </c>
      <c r="F11" s="22">
        <v>4297828</v>
      </c>
      <c r="G11" s="23">
        <v>4715</v>
      </c>
      <c r="H11" s="24">
        <v>1228507</v>
      </c>
      <c r="I11" s="21">
        <v>18531</v>
      </c>
      <c r="J11" s="24">
        <v>2052722</v>
      </c>
      <c r="K11" s="23">
        <v>3085</v>
      </c>
      <c r="L11" s="24">
        <v>713613</v>
      </c>
      <c r="M11" s="21">
        <v>866</v>
      </c>
      <c r="N11" s="24">
        <v>331092</v>
      </c>
      <c r="O11" s="23">
        <v>1282</v>
      </c>
      <c r="P11" s="24">
        <v>899729</v>
      </c>
      <c r="Q11" s="21">
        <v>58</v>
      </c>
      <c r="R11" s="24">
        <v>75496</v>
      </c>
      <c r="S11" s="23">
        <v>429</v>
      </c>
      <c r="T11" s="24">
        <v>88209</v>
      </c>
      <c r="U11" s="21">
        <v>250</v>
      </c>
      <c r="V11" s="24">
        <v>9225</v>
      </c>
      <c r="W11" s="23">
        <v>14742</v>
      </c>
      <c r="X11" s="24">
        <v>356297</v>
      </c>
      <c r="Y11" s="46">
        <v>271</v>
      </c>
      <c r="Z11" s="24">
        <v>190923</v>
      </c>
      <c r="AA11" s="23">
        <v>5521</v>
      </c>
      <c r="AB11" s="24">
        <v>1114120</v>
      </c>
    </row>
    <row r="12" spans="1:28" s="6" customFormat="1" ht="18.75" customHeight="1">
      <c r="A12" s="19" t="s">
        <v>65</v>
      </c>
      <c r="B12" s="48" t="s">
        <v>13</v>
      </c>
      <c r="C12" s="23">
        <v>119641</v>
      </c>
      <c r="D12" s="43">
        <v>9969801</v>
      </c>
      <c r="E12" s="38">
        <v>69584</v>
      </c>
      <c r="F12" s="22">
        <v>2931896</v>
      </c>
      <c r="G12" s="23">
        <v>5691</v>
      </c>
      <c r="H12" s="24">
        <v>1426392</v>
      </c>
      <c r="I12" s="21">
        <v>28277</v>
      </c>
      <c r="J12" s="24">
        <v>2446794</v>
      </c>
      <c r="K12" s="23">
        <v>6271</v>
      </c>
      <c r="L12" s="24">
        <v>1119647</v>
      </c>
      <c r="M12" s="21">
        <v>1303</v>
      </c>
      <c r="N12" s="24">
        <v>482612</v>
      </c>
      <c r="O12" s="23">
        <v>853</v>
      </c>
      <c r="P12" s="24">
        <v>549834</v>
      </c>
      <c r="Q12" s="21">
        <v>97</v>
      </c>
      <c r="R12" s="24">
        <v>92703</v>
      </c>
      <c r="S12" s="23">
        <v>248</v>
      </c>
      <c r="T12" s="24">
        <v>65418</v>
      </c>
      <c r="U12" s="21">
        <v>13</v>
      </c>
      <c r="V12" s="24">
        <v>2146</v>
      </c>
      <c r="W12" s="23">
        <v>3727</v>
      </c>
      <c r="X12" s="24">
        <v>76854</v>
      </c>
      <c r="Y12" s="46">
        <v>138</v>
      </c>
      <c r="Z12" s="24">
        <v>137147</v>
      </c>
      <c r="AA12" s="23">
        <v>3439</v>
      </c>
      <c r="AB12" s="24">
        <v>638358</v>
      </c>
    </row>
    <row r="13" spans="1:28" s="6" customFormat="1" ht="18.75" customHeight="1">
      <c r="A13" s="19" t="s">
        <v>64</v>
      </c>
      <c r="B13" s="48" t="s">
        <v>13</v>
      </c>
      <c r="C13" s="23">
        <v>110258</v>
      </c>
      <c r="D13" s="43">
        <v>8839453</v>
      </c>
      <c r="E13" s="64">
        <v>58421</v>
      </c>
      <c r="F13" s="22">
        <v>2986632</v>
      </c>
      <c r="G13" s="23">
        <v>6652</v>
      </c>
      <c r="H13" s="24">
        <v>1281557</v>
      </c>
      <c r="I13" s="65">
        <v>23683</v>
      </c>
      <c r="J13" s="66">
        <v>1484421</v>
      </c>
      <c r="K13" s="23">
        <v>6664</v>
      </c>
      <c r="L13" s="24">
        <v>963214</v>
      </c>
      <c r="M13" s="21">
        <v>1155</v>
      </c>
      <c r="N13" s="24">
        <v>444008</v>
      </c>
      <c r="O13" s="23">
        <v>504</v>
      </c>
      <c r="P13" s="24">
        <v>237111</v>
      </c>
      <c r="Q13" s="21">
        <v>104</v>
      </c>
      <c r="R13" s="24">
        <v>96695</v>
      </c>
      <c r="S13" s="23">
        <v>47</v>
      </c>
      <c r="T13" s="24">
        <v>11308</v>
      </c>
      <c r="U13" s="21">
        <v>2410</v>
      </c>
      <c r="V13" s="24">
        <v>181592</v>
      </c>
      <c r="W13" s="46">
        <v>3162</v>
      </c>
      <c r="X13" s="24">
        <v>77658</v>
      </c>
      <c r="Y13" s="46">
        <v>192</v>
      </c>
      <c r="Z13" s="24">
        <v>321608</v>
      </c>
      <c r="AA13" s="67">
        <v>7264</v>
      </c>
      <c r="AB13" s="66">
        <v>753649</v>
      </c>
    </row>
    <row r="14" spans="1:28" s="6" customFormat="1" ht="18.75" customHeight="1" thickBot="1">
      <c r="A14" s="13" t="s">
        <v>63</v>
      </c>
      <c r="B14" s="14" t="s">
        <v>13</v>
      </c>
      <c r="C14" s="17">
        <f aca="true" t="shared" si="0" ref="C14:C26">E14+G14+I14+K14+M14+O14+Q14+S14+U14+W14+Y14+AA14</f>
        <v>110668</v>
      </c>
      <c r="D14" s="42">
        <f aca="true" t="shared" si="1" ref="D14:D26">F14+H14+J14+L14+N14+P14+R14+T14+V14+X14+Z14+AB14</f>
        <v>9021716</v>
      </c>
      <c r="E14" s="49">
        <v>65699</v>
      </c>
      <c r="F14" s="16">
        <v>3137775</v>
      </c>
      <c r="G14" s="17">
        <v>7287</v>
      </c>
      <c r="H14" s="18">
        <v>1124322</v>
      </c>
      <c r="I14" s="61">
        <f>SUM(I15:I26)</f>
        <v>15196</v>
      </c>
      <c r="J14" s="62">
        <v>1527694</v>
      </c>
      <c r="K14" s="17">
        <f>SUM(K15:K26)</f>
        <v>3001</v>
      </c>
      <c r="L14" s="18">
        <f>SUM(L15:L26)</f>
        <v>709906</v>
      </c>
      <c r="M14" s="15">
        <v>986</v>
      </c>
      <c r="N14" s="18">
        <v>319190</v>
      </c>
      <c r="O14" s="17">
        <v>268</v>
      </c>
      <c r="P14" s="18">
        <v>173234</v>
      </c>
      <c r="Q14" s="15">
        <v>181</v>
      </c>
      <c r="R14" s="18">
        <v>178894</v>
      </c>
      <c r="S14" s="17">
        <f>SUM(S15:S26)</f>
        <v>116</v>
      </c>
      <c r="T14" s="18">
        <f>SUM(T15:T26)</f>
        <v>38062</v>
      </c>
      <c r="U14" s="15">
        <f>SUM(U15:U26)</f>
        <v>2695</v>
      </c>
      <c r="V14" s="18">
        <f>SUM(V15:V26)</f>
        <v>400759</v>
      </c>
      <c r="W14" s="15">
        <v>9483</v>
      </c>
      <c r="X14" s="18">
        <v>327673</v>
      </c>
      <c r="Y14" s="15">
        <f>SUM(Y15:Y26)</f>
        <v>196</v>
      </c>
      <c r="Z14" s="18">
        <v>342030</v>
      </c>
      <c r="AA14" s="63">
        <v>5560</v>
      </c>
      <c r="AB14" s="62">
        <f>SUM(AB15:AB26)</f>
        <v>742177</v>
      </c>
    </row>
    <row r="15" spans="1:28" s="6" customFormat="1" ht="16.5" customHeight="1" thickTop="1">
      <c r="A15" s="19" t="s">
        <v>63</v>
      </c>
      <c r="B15" s="20" t="s">
        <v>1</v>
      </c>
      <c r="C15" s="23">
        <f t="shared" si="0"/>
        <v>7698</v>
      </c>
      <c r="D15" s="43">
        <f t="shared" si="1"/>
        <v>567900</v>
      </c>
      <c r="E15" s="38">
        <v>6310</v>
      </c>
      <c r="F15" s="22">
        <v>329167</v>
      </c>
      <c r="G15" s="23">
        <v>1041</v>
      </c>
      <c r="H15" s="24">
        <v>146024</v>
      </c>
      <c r="I15" s="21">
        <v>0</v>
      </c>
      <c r="J15" s="24">
        <v>0</v>
      </c>
      <c r="K15" s="23">
        <v>46</v>
      </c>
      <c r="L15" s="24">
        <v>4445</v>
      </c>
      <c r="M15" s="21">
        <v>83</v>
      </c>
      <c r="N15" s="24">
        <v>26899</v>
      </c>
      <c r="O15" s="23">
        <v>0</v>
      </c>
      <c r="P15" s="24">
        <v>0</v>
      </c>
      <c r="Q15" s="46">
        <v>11</v>
      </c>
      <c r="R15" s="24">
        <v>10584</v>
      </c>
      <c r="S15" s="23">
        <v>45</v>
      </c>
      <c r="T15" s="24">
        <v>13830</v>
      </c>
      <c r="U15" s="21">
        <v>0</v>
      </c>
      <c r="V15" s="24">
        <v>0</v>
      </c>
      <c r="W15" s="60">
        <v>0</v>
      </c>
      <c r="X15" s="24">
        <v>0</v>
      </c>
      <c r="Y15" s="60">
        <v>0</v>
      </c>
      <c r="Z15" s="24">
        <v>0</v>
      </c>
      <c r="AA15" s="23">
        <v>162</v>
      </c>
      <c r="AB15" s="24">
        <v>36951</v>
      </c>
    </row>
    <row r="16" spans="1:28" s="6" customFormat="1" ht="16.5" customHeight="1">
      <c r="A16" s="19"/>
      <c r="B16" s="20" t="s">
        <v>2</v>
      </c>
      <c r="C16" s="23">
        <f t="shared" si="0"/>
        <v>13052</v>
      </c>
      <c r="D16" s="43">
        <f t="shared" si="1"/>
        <v>860639</v>
      </c>
      <c r="E16" s="38">
        <v>12000</v>
      </c>
      <c r="F16" s="22">
        <v>717826</v>
      </c>
      <c r="G16" s="23">
        <v>769</v>
      </c>
      <c r="H16" s="24">
        <v>83648</v>
      </c>
      <c r="I16" s="21">
        <v>0</v>
      </c>
      <c r="J16" s="24">
        <v>0</v>
      </c>
      <c r="K16" s="23">
        <v>16</v>
      </c>
      <c r="L16" s="24">
        <v>890</v>
      </c>
      <c r="M16" s="21">
        <v>56</v>
      </c>
      <c r="N16" s="24">
        <v>16833</v>
      </c>
      <c r="O16" s="23">
        <v>0</v>
      </c>
      <c r="P16" s="24">
        <v>0</v>
      </c>
      <c r="Q16" s="46">
        <v>5</v>
      </c>
      <c r="R16" s="24">
        <v>4264</v>
      </c>
      <c r="S16" s="23">
        <v>36</v>
      </c>
      <c r="T16" s="24">
        <v>11570</v>
      </c>
      <c r="U16" s="21">
        <v>0</v>
      </c>
      <c r="V16" s="24">
        <v>0</v>
      </c>
      <c r="W16" s="23">
        <v>0</v>
      </c>
      <c r="X16" s="24">
        <v>0</v>
      </c>
      <c r="Y16" s="21">
        <v>0</v>
      </c>
      <c r="Z16" s="24">
        <v>0</v>
      </c>
      <c r="AA16" s="23">
        <v>170</v>
      </c>
      <c r="AB16" s="24">
        <v>25608</v>
      </c>
    </row>
    <row r="17" spans="1:28" s="6" customFormat="1" ht="16.5" customHeight="1">
      <c r="A17" s="19"/>
      <c r="B17" s="20" t="s">
        <v>3</v>
      </c>
      <c r="C17" s="23">
        <f t="shared" si="0"/>
        <v>6695</v>
      </c>
      <c r="D17" s="43">
        <f t="shared" si="1"/>
        <v>488287</v>
      </c>
      <c r="E17" s="38">
        <v>5845</v>
      </c>
      <c r="F17" s="22">
        <v>346935</v>
      </c>
      <c r="G17" s="23">
        <v>596</v>
      </c>
      <c r="H17" s="24">
        <v>85299</v>
      </c>
      <c r="I17" s="21">
        <v>0</v>
      </c>
      <c r="J17" s="24">
        <v>0</v>
      </c>
      <c r="K17" s="23">
        <v>8</v>
      </c>
      <c r="L17" s="24">
        <v>505</v>
      </c>
      <c r="M17" s="21">
        <v>91</v>
      </c>
      <c r="N17" s="24">
        <v>24184</v>
      </c>
      <c r="O17" s="23">
        <v>0</v>
      </c>
      <c r="P17" s="24">
        <v>0</v>
      </c>
      <c r="Q17" s="21">
        <v>8</v>
      </c>
      <c r="R17" s="24">
        <v>8661</v>
      </c>
      <c r="S17" s="23">
        <v>10</v>
      </c>
      <c r="T17" s="24">
        <v>3818</v>
      </c>
      <c r="U17" s="21">
        <v>0</v>
      </c>
      <c r="V17" s="24">
        <v>0</v>
      </c>
      <c r="W17" s="23">
        <v>0</v>
      </c>
      <c r="X17" s="24">
        <v>0</v>
      </c>
      <c r="Y17" s="21">
        <v>0</v>
      </c>
      <c r="Z17" s="24">
        <v>0</v>
      </c>
      <c r="AA17" s="23">
        <v>137</v>
      </c>
      <c r="AB17" s="24">
        <v>18885</v>
      </c>
    </row>
    <row r="18" spans="1:28" s="6" customFormat="1" ht="16.5" customHeight="1">
      <c r="A18" s="19"/>
      <c r="B18" s="20" t="s">
        <v>4</v>
      </c>
      <c r="C18" s="23">
        <f t="shared" si="0"/>
        <v>6270</v>
      </c>
      <c r="D18" s="43">
        <f t="shared" si="1"/>
        <v>457541</v>
      </c>
      <c r="E18" s="38">
        <v>4496</v>
      </c>
      <c r="F18" s="22">
        <v>183915</v>
      </c>
      <c r="G18" s="23">
        <v>1030</v>
      </c>
      <c r="H18" s="24">
        <v>140913</v>
      </c>
      <c r="I18" s="21">
        <v>0</v>
      </c>
      <c r="J18" s="24">
        <v>0</v>
      </c>
      <c r="K18" s="23">
        <v>7</v>
      </c>
      <c r="L18" s="24">
        <v>553</v>
      </c>
      <c r="M18" s="21">
        <v>177</v>
      </c>
      <c r="N18" s="24">
        <v>44357</v>
      </c>
      <c r="O18" s="23">
        <v>0</v>
      </c>
      <c r="P18" s="24">
        <v>0</v>
      </c>
      <c r="Q18" s="21">
        <v>43</v>
      </c>
      <c r="R18" s="24">
        <v>39459</v>
      </c>
      <c r="S18" s="23">
        <v>12</v>
      </c>
      <c r="T18" s="24">
        <v>4390</v>
      </c>
      <c r="U18" s="21">
        <v>0</v>
      </c>
      <c r="V18" s="24">
        <v>0</v>
      </c>
      <c r="W18" s="23">
        <v>0</v>
      </c>
      <c r="X18" s="24">
        <v>0</v>
      </c>
      <c r="Y18" s="21">
        <v>0</v>
      </c>
      <c r="Z18" s="24">
        <v>0</v>
      </c>
      <c r="AA18" s="23">
        <v>505</v>
      </c>
      <c r="AB18" s="24">
        <v>43954</v>
      </c>
    </row>
    <row r="19" spans="1:28" s="6" customFormat="1" ht="16.5" customHeight="1">
      <c r="A19" s="19"/>
      <c r="B19" s="20" t="s">
        <v>5</v>
      </c>
      <c r="C19" s="23">
        <f t="shared" si="0"/>
        <v>5422</v>
      </c>
      <c r="D19" s="43">
        <f t="shared" si="1"/>
        <v>352609</v>
      </c>
      <c r="E19" s="38">
        <v>4140</v>
      </c>
      <c r="F19" s="22">
        <v>166567</v>
      </c>
      <c r="G19" s="23">
        <v>863</v>
      </c>
      <c r="H19" s="24">
        <v>94635</v>
      </c>
      <c r="I19" s="21">
        <v>0</v>
      </c>
      <c r="J19" s="24">
        <v>0</v>
      </c>
      <c r="K19" s="23">
        <v>6</v>
      </c>
      <c r="L19" s="24">
        <v>434</v>
      </c>
      <c r="M19" s="21">
        <v>67</v>
      </c>
      <c r="N19" s="24">
        <v>14082</v>
      </c>
      <c r="O19" s="23">
        <v>10</v>
      </c>
      <c r="P19" s="24">
        <v>3892</v>
      </c>
      <c r="Q19" s="21">
        <v>38</v>
      </c>
      <c r="R19" s="24">
        <v>28326</v>
      </c>
      <c r="S19" s="23">
        <v>5</v>
      </c>
      <c r="T19" s="24">
        <v>1350</v>
      </c>
      <c r="U19" s="21">
        <v>0</v>
      </c>
      <c r="V19" s="24">
        <v>0</v>
      </c>
      <c r="W19" s="23">
        <v>0</v>
      </c>
      <c r="X19" s="24">
        <v>0</v>
      </c>
      <c r="Y19" s="21">
        <v>0</v>
      </c>
      <c r="Z19" s="24">
        <v>0</v>
      </c>
      <c r="AA19" s="23">
        <v>293</v>
      </c>
      <c r="AB19" s="24">
        <v>43323</v>
      </c>
    </row>
    <row r="20" spans="1:28" s="6" customFormat="1" ht="16.5" customHeight="1">
      <c r="A20" s="19"/>
      <c r="B20" s="20" t="s">
        <v>6</v>
      </c>
      <c r="C20" s="23">
        <f t="shared" si="0"/>
        <v>2253</v>
      </c>
      <c r="D20" s="43">
        <f t="shared" si="1"/>
        <v>176307</v>
      </c>
      <c r="E20" s="38">
        <v>313</v>
      </c>
      <c r="F20" s="22">
        <v>13784</v>
      </c>
      <c r="G20" s="23">
        <v>140</v>
      </c>
      <c r="H20" s="24">
        <v>14134</v>
      </c>
      <c r="I20" s="21">
        <v>1342</v>
      </c>
      <c r="J20" s="24">
        <v>44025</v>
      </c>
      <c r="K20" s="53">
        <v>0</v>
      </c>
      <c r="L20" s="24">
        <v>20</v>
      </c>
      <c r="M20" s="21">
        <v>73</v>
      </c>
      <c r="N20" s="24">
        <v>13484</v>
      </c>
      <c r="O20" s="23">
        <v>33</v>
      </c>
      <c r="P20" s="24">
        <v>16606</v>
      </c>
      <c r="Q20" s="53">
        <v>10</v>
      </c>
      <c r="R20" s="24">
        <v>8540</v>
      </c>
      <c r="S20" s="45">
        <v>2</v>
      </c>
      <c r="T20" s="24">
        <v>478</v>
      </c>
      <c r="U20" s="21">
        <v>1</v>
      </c>
      <c r="V20" s="24">
        <v>404</v>
      </c>
      <c r="W20" s="23">
        <v>0</v>
      </c>
      <c r="X20" s="24">
        <v>0</v>
      </c>
      <c r="Y20" s="21">
        <v>0</v>
      </c>
      <c r="Z20" s="24">
        <v>0</v>
      </c>
      <c r="AA20" s="23">
        <v>339</v>
      </c>
      <c r="AB20" s="24">
        <v>64832</v>
      </c>
    </row>
    <row r="21" spans="1:28" s="6" customFormat="1" ht="16.5" customHeight="1">
      <c r="A21" s="19"/>
      <c r="B21" s="20" t="s">
        <v>7</v>
      </c>
      <c r="C21" s="23">
        <f t="shared" si="0"/>
        <v>1562</v>
      </c>
      <c r="D21" s="43">
        <f t="shared" si="1"/>
        <v>394185</v>
      </c>
      <c r="E21" s="38">
        <v>7</v>
      </c>
      <c r="F21" s="22">
        <v>236</v>
      </c>
      <c r="G21" s="23">
        <v>36</v>
      </c>
      <c r="H21" s="24">
        <v>4503</v>
      </c>
      <c r="I21" s="21">
        <v>683</v>
      </c>
      <c r="J21" s="24">
        <v>116491</v>
      </c>
      <c r="K21" s="45">
        <v>514</v>
      </c>
      <c r="L21" s="24">
        <v>113135</v>
      </c>
      <c r="M21" s="21">
        <v>39</v>
      </c>
      <c r="N21" s="24">
        <v>11963</v>
      </c>
      <c r="O21" s="23">
        <v>108</v>
      </c>
      <c r="P21" s="24">
        <v>102989</v>
      </c>
      <c r="Q21" s="21">
        <v>5</v>
      </c>
      <c r="R21" s="24">
        <v>7233</v>
      </c>
      <c r="S21" s="45">
        <v>0</v>
      </c>
      <c r="T21" s="24">
        <v>10</v>
      </c>
      <c r="U21" s="45">
        <v>2</v>
      </c>
      <c r="V21" s="24">
        <v>486</v>
      </c>
      <c r="W21" s="21">
        <v>0</v>
      </c>
      <c r="X21" s="24">
        <v>0</v>
      </c>
      <c r="Y21" s="21">
        <v>0</v>
      </c>
      <c r="Z21" s="24">
        <v>0</v>
      </c>
      <c r="AA21" s="23">
        <v>168</v>
      </c>
      <c r="AB21" s="24">
        <v>37139</v>
      </c>
    </row>
    <row r="22" spans="1:28" s="6" customFormat="1" ht="16.5" customHeight="1">
      <c r="A22" s="19"/>
      <c r="B22" s="20" t="s">
        <v>8</v>
      </c>
      <c r="C22" s="23">
        <f t="shared" si="0"/>
        <v>1833</v>
      </c>
      <c r="D22" s="43">
        <f t="shared" si="1"/>
        <v>431476</v>
      </c>
      <c r="E22" s="38">
        <v>9</v>
      </c>
      <c r="F22" s="22">
        <v>302</v>
      </c>
      <c r="G22" s="23">
        <v>35</v>
      </c>
      <c r="H22" s="24">
        <v>4452</v>
      </c>
      <c r="I22" s="21">
        <v>128</v>
      </c>
      <c r="J22" s="24">
        <v>81154</v>
      </c>
      <c r="K22" s="23">
        <v>924</v>
      </c>
      <c r="L22" s="24">
        <v>219965</v>
      </c>
      <c r="M22" s="21">
        <v>21</v>
      </c>
      <c r="N22" s="24">
        <v>7285</v>
      </c>
      <c r="O22" s="23">
        <v>5</v>
      </c>
      <c r="P22" s="24">
        <v>2353</v>
      </c>
      <c r="Q22" s="21">
        <v>8</v>
      </c>
      <c r="R22" s="24">
        <v>9284</v>
      </c>
      <c r="S22" s="45">
        <v>0</v>
      </c>
      <c r="T22" s="24">
        <v>8</v>
      </c>
      <c r="U22" s="21">
        <v>0</v>
      </c>
      <c r="V22" s="24">
        <v>0</v>
      </c>
      <c r="W22" s="23">
        <v>140</v>
      </c>
      <c r="X22" s="24">
        <v>46491</v>
      </c>
      <c r="Y22" s="21">
        <v>0</v>
      </c>
      <c r="Z22" s="24">
        <v>0</v>
      </c>
      <c r="AA22" s="23">
        <v>563</v>
      </c>
      <c r="AB22" s="24">
        <v>60182</v>
      </c>
    </row>
    <row r="23" spans="1:28" s="6" customFormat="1" ht="16.5" customHeight="1">
      <c r="A23" s="19"/>
      <c r="B23" s="20" t="s">
        <v>9</v>
      </c>
      <c r="C23" s="23">
        <f t="shared" si="0"/>
        <v>26024</v>
      </c>
      <c r="D23" s="43">
        <f t="shared" si="1"/>
        <v>1890007</v>
      </c>
      <c r="E23" s="38">
        <v>13588</v>
      </c>
      <c r="F23" s="22">
        <v>505488</v>
      </c>
      <c r="G23" s="23">
        <v>606</v>
      </c>
      <c r="H23" s="24">
        <v>64343</v>
      </c>
      <c r="I23" s="21">
        <v>2736</v>
      </c>
      <c r="J23" s="24">
        <v>406732</v>
      </c>
      <c r="K23" s="23">
        <v>527</v>
      </c>
      <c r="L23" s="24">
        <v>126471</v>
      </c>
      <c r="M23" s="21">
        <v>39</v>
      </c>
      <c r="N23" s="24">
        <v>6583</v>
      </c>
      <c r="O23" s="23">
        <v>80</v>
      </c>
      <c r="P23" s="24">
        <v>34335</v>
      </c>
      <c r="Q23" s="21">
        <v>7</v>
      </c>
      <c r="R23" s="24">
        <v>6924</v>
      </c>
      <c r="S23" s="45">
        <v>1</v>
      </c>
      <c r="T23" s="24">
        <v>389</v>
      </c>
      <c r="U23" s="45">
        <v>2473</v>
      </c>
      <c r="V23" s="24">
        <v>389299</v>
      </c>
      <c r="W23" s="23">
        <v>4442</v>
      </c>
      <c r="X23" s="24">
        <v>133949</v>
      </c>
      <c r="Y23" s="21">
        <v>0</v>
      </c>
      <c r="Z23" s="24">
        <v>0</v>
      </c>
      <c r="AA23" s="23">
        <v>1525</v>
      </c>
      <c r="AB23" s="24">
        <v>215494</v>
      </c>
    </row>
    <row r="24" spans="1:28" s="6" customFormat="1" ht="16.5" customHeight="1">
      <c r="A24" s="19"/>
      <c r="B24" s="20" t="s">
        <v>10</v>
      </c>
      <c r="C24" s="23">
        <f t="shared" si="0"/>
        <v>28051</v>
      </c>
      <c r="D24" s="43">
        <f t="shared" si="1"/>
        <v>1895455</v>
      </c>
      <c r="E24" s="38">
        <v>9969</v>
      </c>
      <c r="F24" s="22">
        <v>390921</v>
      </c>
      <c r="G24" s="23">
        <v>934</v>
      </c>
      <c r="H24" s="24">
        <v>141579</v>
      </c>
      <c r="I24" s="21">
        <v>10074</v>
      </c>
      <c r="J24" s="24">
        <v>859541</v>
      </c>
      <c r="K24" s="23">
        <v>816</v>
      </c>
      <c r="L24" s="24">
        <v>210060</v>
      </c>
      <c r="M24" s="21">
        <v>50</v>
      </c>
      <c r="N24" s="24">
        <v>12261</v>
      </c>
      <c r="O24" s="23">
        <v>31</v>
      </c>
      <c r="P24" s="24">
        <v>13030</v>
      </c>
      <c r="Q24" s="21">
        <v>5</v>
      </c>
      <c r="R24" s="24">
        <v>6549</v>
      </c>
      <c r="S24" s="23">
        <v>2</v>
      </c>
      <c r="T24" s="24">
        <v>867</v>
      </c>
      <c r="U24" s="46">
        <v>219</v>
      </c>
      <c r="V24" s="24">
        <v>10570</v>
      </c>
      <c r="W24" s="23">
        <v>4899</v>
      </c>
      <c r="X24" s="24">
        <v>146664</v>
      </c>
      <c r="Y24" s="46">
        <v>12</v>
      </c>
      <c r="Z24" s="24">
        <v>21925</v>
      </c>
      <c r="AA24" s="23">
        <v>1040</v>
      </c>
      <c r="AB24" s="24">
        <v>81488</v>
      </c>
    </row>
    <row r="25" spans="1:28" s="6" customFormat="1" ht="16.5" customHeight="1">
      <c r="A25" s="19"/>
      <c r="B25" s="20" t="s">
        <v>11</v>
      </c>
      <c r="C25" s="23">
        <f t="shared" si="0"/>
        <v>6059</v>
      </c>
      <c r="D25" s="43">
        <f t="shared" si="1"/>
        <v>799388</v>
      </c>
      <c r="E25" s="38">
        <v>4418</v>
      </c>
      <c r="F25" s="22">
        <v>198246</v>
      </c>
      <c r="G25" s="23">
        <v>576</v>
      </c>
      <c r="H25" s="24">
        <v>128127</v>
      </c>
      <c r="I25" s="21">
        <v>233</v>
      </c>
      <c r="J25" s="24">
        <v>19752</v>
      </c>
      <c r="K25" s="23">
        <v>132</v>
      </c>
      <c r="L25" s="24">
        <v>32970</v>
      </c>
      <c r="M25" s="21">
        <v>133</v>
      </c>
      <c r="N25" s="24">
        <v>62017</v>
      </c>
      <c r="O25" s="45">
        <v>0</v>
      </c>
      <c r="P25" s="24">
        <v>30</v>
      </c>
      <c r="Q25" s="21">
        <v>23</v>
      </c>
      <c r="R25" s="24">
        <v>26967</v>
      </c>
      <c r="S25" s="23">
        <v>2</v>
      </c>
      <c r="T25" s="24">
        <v>585</v>
      </c>
      <c r="U25" s="21">
        <v>0</v>
      </c>
      <c r="V25" s="24">
        <v>0</v>
      </c>
      <c r="W25" s="45">
        <v>1</v>
      </c>
      <c r="X25" s="24">
        <v>568</v>
      </c>
      <c r="Y25" s="21">
        <v>169</v>
      </c>
      <c r="Z25" s="24">
        <v>294724</v>
      </c>
      <c r="AA25" s="23">
        <v>372</v>
      </c>
      <c r="AB25" s="24">
        <v>35402</v>
      </c>
    </row>
    <row r="26" spans="1:28" s="6" customFormat="1" ht="16.5" customHeight="1">
      <c r="A26" s="25"/>
      <c r="B26" s="26" t="s">
        <v>12</v>
      </c>
      <c r="C26" s="31">
        <f t="shared" si="0"/>
        <v>5749</v>
      </c>
      <c r="D26" s="44">
        <f t="shared" si="1"/>
        <v>707923</v>
      </c>
      <c r="E26" s="39">
        <v>4605</v>
      </c>
      <c r="F26" s="34">
        <v>284387</v>
      </c>
      <c r="G26" s="31">
        <v>660</v>
      </c>
      <c r="H26" s="32">
        <v>216667</v>
      </c>
      <c r="I26" s="33">
        <v>0</v>
      </c>
      <c r="J26" s="32">
        <v>0</v>
      </c>
      <c r="K26" s="31">
        <v>5</v>
      </c>
      <c r="L26" s="32">
        <v>458</v>
      </c>
      <c r="M26" s="33">
        <v>158</v>
      </c>
      <c r="N26" s="32">
        <v>79243</v>
      </c>
      <c r="O26" s="31">
        <v>0</v>
      </c>
      <c r="P26" s="32">
        <v>0</v>
      </c>
      <c r="Q26" s="33">
        <v>17</v>
      </c>
      <c r="R26" s="32">
        <v>22102</v>
      </c>
      <c r="S26" s="31">
        <v>1</v>
      </c>
      <c r="T26" s="32">
        <v>767</v>
      </c>
      <c r="U26" s="33">
        <v>0</v>
      </c>
      <c r="V26" s="32">
        <v>0</v>
      </c>
      <c r="W26" s="33">
        <v>0</v>
      </c>
      <c r="X26" s="32">
        <v>0</v>
      </c>
      <c r="Y26" s="33">
        <v>15</v>
      </c>
      <c r="Z26" s="32">
        <v>25380</v>
      </c>
      <c r="AA26" s="31">
        <v>288</v>
      </c>
      <c r="AB26" s="32">
        <v>78919</v>
      </c>
    </row>
    <row r="27" s="6" customFormat="1" ht="16.5" customHeight="1">
      <c r="A27" s="6" t="s">
        <v>19</v>
      </c>
    </row>
    <row r="28" s="6" customFormat="1" ht="16.5" customHeight="1">
      <c r="A28" s="6" t="s">
        <v>20</v>
      </c>
    </row>
    <row r="29" s="1" customFormat="1" ht="15" customHeight="1"/>
    <row r="30" s="1" customFormat="1" ht="15" customHeight="1"/>
    <row r="31" ht="13.5">
      <c r="E31" s="57"/>
    </row>
  </sheetData>
  <sheetProtection/>
  <mergeCells count="14">
    <mergeCell ref="Y4:Z4"/>
    <mergeCell ref="AA4:AB4"/>
    <mergeCell ref="Q4:R4"/>
    <mergeCell ref="S4:T4"/>
    <mergeCell ref="U4:V4"/>
    <mergeCell ref="W4:X4"/>
    <mergeCell ref="I4:J4"/>
    <mergeCell ref="K4:L4"/>
    <mergeCell ref="M4:N4"/>
    <mergeCell ref="O4:P4"/>
    <mergeCell ref="A4:B5"/>
    <mergeCell ref="C4:D4"/>
    <mergeCell ref="E4:F4"/>
    <mergeCell ref="G4:H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3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7.59765625" style="56" customWidth="1"/>
    <col min="2" max="2" width="5.5" style="56" customWidth="1"/>
    <col min="3" max="3" width="10.5" style="56" bestFit="1" customWidth="1"/>
    <col min="4" max="4" width="13.8984375" style="56" bestFit="1" customWidth="1"/>
    <col min="5" max="5" width="8.59765625" style="56" customWidth="1"/>
    <col min="6" max="6" width="11.8984375" style="56" customWidth="1"/>
    <col min="7" max="7" width="8.59765625" style="56" customWidth="1"/>
    <col min="8" max="8" width="11.8984375" style="56" customWidth="1"/>
    <col min="9" max="9" width="8.59765625" style="56" customWidth="1"/>
    <col min="10" max="10" width="11.8984375" style="56" customWidth="1"/>
    <col min="11" max="11" width="8.59765625" style="56" customWidth="1"/>
    <col min="12" max="12" width="11.8984375" style="56" customWidth="1"/>
    <col min="13" max="13" width="8.59765625" style="56" customWidth="1"/>
    <col min="14" max="14" width="11.8984375" style="56" customWidth="1"/>
    <col min="15" max="15" width="8.59765625" style="56" customWidth="1"/>
    <col min="16" max="16" width="11.8984375" style="56" customWidth="1"/>
    <col min="17" max="17" width="8.59765625" style="56" customWidth="1"/>
    <col min="18" max="18" width="11.8984375" style="56" customWidth="1"/>
    <col min="19" max="19" width="8.59765625" style="56" customWidth="1"/>
    <col min="20" max="20" width="11.8984375" style="56" customWidth="1"/>
    <col min="21" max="21" width="8.59765625" style="56" customWidth="1"/>
    <col min="22" max="22" width="11.8984375" style="56" customWidth="1"/>
    <col min="23" max="23" width="8.59765625" style="56" customWidth="1"/>
    <col min="24" max="24" width="11.8984375" style="56" customWidth="1"/>
    <col min="25" max="25" width="8.59765625" style="56" customWidth="1"/>
    <col min="26" max="26" width="11.8984375" style="56" customWidth="1"/>
    <col min="27" max="27" width="8.59765625" style="56" customWidth="1"/>
    <col min="28" max="28" width="11.8984375" style="56" customWidth="1"/>
    <col min="29" max="16384" width="9" style="56" customWidth="1"/>
  </cols>
  <sheetData>
    <row r="1" ht="16.5" customHeight="1">
      <c r="A1" s="5" t="s">
        <v>80</v>
      </c>
    </row>
    <row r="2" ht="13.5" customHeight="1"/>
    <row r="3" s="6" customFormat="1" ht="16.5" customHeight="1">
      <c r="A3" s="6" t="s">
        <v>31</v>
      </c>
    </row>
    <row r="4" spans="1:28" s="6" customFormat="1" ht="18.75" customHeight="1">
      <c r="A4" s="120" t="s">
        <v>18</v>
      </c>
      <c r="B4" s="121"/>
      <c r="C4" s="124" t="s">
        <v>0</v>
      </c>
      <c r="D4" s="125"/>
      <c r="E4" s="126" t="s">
        <v>46</v>
      </c>
      <c r="F4" s="113"/>
      <c r="G4" s="112" t="s">
        <v>47</v>
      </c>
      <c r="H4" s="113"/>
      <c r="I4" s="112" t="s">
        <v>48</v>
      </c>
      <c r="J4" s="113"/>
      <c r="K4" s="112" t="s">
        <v>23</v>
      </c>
      <c r="L4" s="113"/>
      <c r="M4" s="112" t="s">
        <v>24</v>
      </c>
      <c r="N4" s="113"/>
      <c r="O4" s="112" t="s">
        <v>15</v>
      </c>
      <c r="P4" s="113"/>
      <c r="Q4" s="112" t="s">
        <v>25</v>
      </c>
      <c r="R4" s="113"/>
      <c r="S4" s="112" t="s">
        <v>54</v>
      </c>
      <c r="T4" s="113"/>
      <c r="U4" s="112" t="s">
        <v>51</v>
      </c>
      <c r="V4" s="113"/>
      <c r="W4" s="112" t="s">
        <v>52</v>
      </c>
      <c r="X4" s="113"/>
      <c r="Y4" s="112" t="s">
        <v>53</v>
      </c>
      <c r="Z4" s="113"/>
      <c r="AA4" s="112" t="s">
        <v>30</v>
      </c>
      <c r="AB4" s="113"/>
    </row>
    <row r="5" spans="1:28" s="6" customFormat="1" ht="18.75" customHeight="1">
      <c r="A5" s="122"/>
      <c r="B5" s="123"/>
      <c r="C5" s="7" t="s">
        <v>16</v>
      </c>
      <c r="D5" s="40" t="s">
        <v>17</v>
      </c>
      <c r="E5" s="35" t="s">
        <v>16</v>
      </c>
      <c r="F5" s="10" t="s">
        <v>17</v>
      </c>
      <c r="G5" s="7" t="s">
        <v>16</v>
      </c>
      <c r="H5" s="8" t="s">
        <v>17</v>
      </c>
      <c r="I5" s="9" t="s">
        <v>16</v>
      </c>
      <c r="J5" s="10" t="s">
        <v>17</v>
      </c>
      <c r="K5" s="7" t="s">
        <v>16</v>
      </c>
      <c r="L5" s="8" t="s">
        <v>17</v>
      </c>
      <c r="M5" s="9" t="s">
        <v>16</v>
      </c>
      <c r="N5" s="10" t="s">
        <v>17</v>
      </c>
      <c r="O5" s="7" t="s">
        <v>16</v>
      </c>
      <c r="P5" s="8" t="s">
        <v>17</v>
      </c>
      <c r="Q5" s="9" t="s">
        <v>16</v>
      </c>
      <c r="R5" s="8" t="s">
        <v>17</v>
      </c>
      <c r="S5" s="7" t="s">
        <v>16</v>
      </c>
      <c r="T5" s="8" t="s">
        <v>17</v>
      </c>
      <c r="U5" s="9" t="s">
        <v>16</v>
      </c>
      <c r="V5" s="10" t="s">
        <v>17</v>
      </c>
      <c r="W5" s="7" t="s">
        <v>16</v>
      </c>
      <c r="X5" s="8" t="s">
        <v>17</v>
      </c>
      <c r="Y5" s="9" t="s">
        <v>16</v>
      </c>
      <c r="Z5" s="8" t="s">
        <v>17</v>
      </c>
      <c r="AA5" s="7" t="s">
        <v>16</v>
      </c>
      <c r="AB5" s="8" t="s">
        <v>17</v>
      </c>
    </row>
    <row r="6" spans="1:28" s="6" customFormat="1" ht="18.75" customHeight="1">
      <c r="A6" s="11" t="s">
        <v>71</v>
      </c>
      <c r="B6" s="12" t="s">
        <v>13</v>
      </c>
      <c r="C6" s="27">
        <v>114577</v>
      </c>
      <c r="D6" s="41">
        <v>11911835</v>
      </c>
      <c r="E6" s="36">
        <v>53813</v>
      </c>
      <c r="F6" s="30">
        <v>3896698</v>
      </c>
      <c r="G6" s="27">
        <v>3869</v>
      </c>
      <c r="H6" s="28">
        <v>966494</v>
      </c>
      <c r="I6" s="29">
        <v>28526</v>
      </c>
      <c r="J6" s="28">
        <v>1985504</v>
      </c>
      <c r="K6" s="27">
        <v>3602</v>
      </c>
      <c r="L6" s="28">
        <v>587516</v>
      </c>
      <c r="M6" s="29">
        <v>1345</v>
      </c>
      <c r="N6" s="28">
        <v>705161</v>
      </c>
      <c r="O6" s="27">
        <v>1579</v>
      </c>
      <c r="P6" s="28">
        <v>856075</v>
      </c>
      <c r="Q6" s="29">
        <v>118</v>
      </c>
      <c r="R6" s="28">
        <v>212500</v>
      </c>
      <c r="S6" s="27">
        <v>741</v>
      </c>
      <c r="T6" s="28">
        <v>140828</v>
      </c>
      <c r="U6" s="29">
        <v>3364</v>
      </c>
      <c r="V6" s="28">
        <v>78773</v>
      </c>
      <c r="W6" s="27">
        <v>2280</v>
      </c>
      <c r="X6" s="28">
        <v>43754</v>
      </c>
      <c r="Y6" s="29">
        <v>251</v>
      </c>
      <c r="Z6" s="28">
        <v>257030</v>
      </c>
      <c r="AA6" s="27">
        <v>15089</v>
      </c>
      <c r="AB6" s="28">
        <v>2181502</v>
      </c>
    </row>
    <row r="7" spans="1:28" s="6" customFormat="1" ht="18.75" customHeight="1">
      <c r="A7" s="19" t="s">
        <v>70</v>
      </c>
      <c r="B7" s="48" t="s">
        <v>13</v>
      </c>
      <c r="C7" s="23">
        <v>137948</v>
      </c>
      <c r="D7" s="43">
        <v>14562957</v>
      </c>
      <c r="E7" s="38">
        <v>55786</v>
      </c>
      <c r="F7" s="22">
        <v>4489157</v>
      </c>
      <c r="G7" s="23">
        <v>3310</v>
      </c>
      <c r="H7" s="24">
        <v>992926</v>
      </c>
      <c r="I7" s="21">
        <v>27899</v>
      </c>
      <c r="J7" s="24">
        <v>2081572</v>
      </c>
      <c r="K7" s="23">
        <v>3869</v>
      </c>
      <c r="L7" s="24">
        <v>893617</v>
      </c>
      <c r="M7" s="21">
        <v>1490</v>
      </c>
      <c r="N7" s="24">
        <v>754333</v>
      </c>
      <c r="O7" s="23">
        <v>1487</v>
      </c>
      <c r="P7" s="24">
        <v>916744</v>
      </c>
      <c r="Q7" s="21">
        <v>108</v>
      </c>
      <c r="R7" s="24">
        <v>195023</v>
      </c>
      <c r="S7" s="23">
        <v>725</v>
      </c>
      <c r="T7" s="24">
        <v>89569</v>
      </c>
      <c r="U7" s="21">
        <v>1891</v>
      </c>
      <c r="V7" s="24">
        <v>144705</v>
      </c>
      <c r="W7" s="23">
        <v>16112</v>
      </c>
      <c r="X7" s="24">
        <v>382795</v>
      </c>
      <c r="Y7" s="46">
        <v>360</v>
      </c>
      <c r="Z7" s="24">
        <v>326991</v>
      </c>
      <c r="AA7" s="23">
        <v>24912</v>
      </c>
      <c r="AB7" s="24">
        <v>3295525</v>
      </c>
    </row>
    <row r="8" spans="1:28" s="6" customFormat="1" ht="18.75" customHeight="1">
      <c r="A8" s="19" t="s">
        <v>69</v>
      </c>
      <c r="B8" s="48" t="s">
        <v>13</v>
      </c>
      <c r="C8" s="23">
        <v>107569</v>
      </c>
      <c r="D8" s="43">
        <v>12723109</v>
      </c>
      <c r="E8" s="38">
        <v>50408</v>
      </c>
      <c r="F8" s="22">
        <v>4285036</v>
      </c>
      <c r="G8" s="23">
        <v>3511</v>
      </c>
      <c r="H8" s="24">
        <v>1040834</v>
      </c>
      <c r="I8" s="21">
        <v>34098</v>
      </c>
      <c r="J8" s="24">
        <v>2522079</v>
      </c>
      <c r="K8" s="23">
        <v>4992</v>
      </c>
      <c r="L8" s="24">
        <v>660467</v>
      </c>
      <c r="M8" s="21">
        <v>1176</v>
      </c>
      <c r="N8" s="24">
        <v>718806</v>
      </c>
      <c r="O8" s="23">
        <v>1422</v>
      </c>
      <c r="P8" s="24">
        <v>853981</v>
      </c>
      <c r="Q8" s="21">
        <v>103</v>
      </c>
      <c r="R8" s="24">
        <v>171971</v>
      </c>
      <c r="S8" s="23">
        <v>482</v>
      </c>
      <c r="T8" s="24">
        <v>114497</v>
      </c>
      <c r="U8" s="21">
        <v>794</v>
      </c>
      <c r="V8" s="24">
        <v>72318</v>
      </c>
      <c r="W8" s="23">
        <v>52</v>
      </c>
      <c r="X8" s="24">
        <v>2180</v>
      </c>
      <c r="Y8" s="46">
        <v>250</v>
      </c>
      <c r="Z8" s="24">
        <v>366073</v>
      </c>
      <c r="AA8" s="23">
        <v>10282</v>
      </c>
      <c r="AB8" s="24">
        <v>1914866</v>
      </c>
    </row>
    <row r="9" spans="1:28" s="6" customFormat="1" ht="18.75" customHeight="1">
      <c r="A9" s="19" t="s">
        <v>68</v>
      </c>
      <c r="B9" s="48" t="s">
        <v>13</v>
      </c>
      <c r="C9" s="23">
        <v>125679</v>
      </c>
      <c r="D9" s="43">
        <v>15281221</v>
      </c>
      <c r="E9" s="38">
        <v>66253</v>
      </c>
      <c r="F9" s="22">
        <v>6179462</v>
      </c>
      <c r="G9" s="23">
        <v>3669</v>
      </c>
      <c r="H9" s="24">
        <v>1200338</v>
      </c>
      <c r="I9" s="21">
        <v>30698</v>
      </c>
      <c r="J9" s="24">
        <v>2575115</v>
      </c>
      <c r="K9" s="23">
        <v>1852</v>
      </c>
      <c r="L9" s="24">
        <v>257255</v>
      </c>
      <c r="M9" s="21">
        <v>972</v>
      </c>
      <c r="N9" s="24">
        <v>586883</v>
      </c>
      <c r="O9" s="23">
        <v>1462</v>
      </c>
      <c r="P9" s="24">
        <v>895714</v>
      </c>
      <c r="Q9" s="21">
        <v>32</v>
      </c>
      <c r="R9" s="24">
        <v>54093</v>
      </c>
      <c r="S9" s="23">
        <v>233</v>
      </c>
      <c r="T9" s="24">
        <v>70889</v>
      </c>
      <c r="U9" s="21">
        <v>19</v>
      </c>
      <c r="V9" s="24">
        <v>2464</v>
      </c>
      <c r="W9" s="23">
        <v>681</v>
      </c>
      <c r="X9" s="24">
        <v>20030</v>
      </c>
      <c r="Y9" s="46">
        <v>102</v>
      </c>
      <c r="Z9" s="24">
        <v>191992</v>
      </c>
      <c r="AA9" s="23">
        <v>19706</v>
      </c>
      <c r="AB9" s="24">
        <v>3246986</v>
      </c>
    </row>
    <row r="10" spans="1:28" s="6" customFormat="1" ht="18.75" customHeight="1">
      <c r="A10" s="19" t="s">
        <v>67</v>
      </c>
      <c r="B10" s="48" t="s">
        <v>13</v>
      </c>
      <c r="C10" s="23">
        <v>128052</v>
      </c>
      <c r="D10" s="43">
        <v>12154590</v>
      </c>
      <c r="E10" s="38">
        <v>55825</v>
      </c>
      <c r="F10" s="22">
        <v>3325149</v>
      </c>
      <c r="G10" s="23">
        <v>3603</v>
      </c>
      <c r="H10" s="24">
        <v>926514</v>
      </c>
      <c r="I10" s="21">
        <v>28797</v>
      </c>
      <c r="J10" s="24">
        <v>2548975</v>
      </c>
      <c r="K10" s="23">
        <v>4772</v>
      </c>
      <c r="L10" s="24">
        <v>619477</v>
      </c>
      <c r="M10" s="21">
        <v>863</v>
      </c>
      <c r="N10" s="24">
        <v>414570</v>
      </c>
      <c r="O10" s="23">
        <v>1019</v>
      </c>
      <c r="P10" s="24">
        <v>615953</v>
      </c>
      <c r="Q10" s="21">
        <v>72</v>
      </c>
      <c r="R10" s="24">
        <v>121419</v>
      </c>
      <c r="S10" s="23">
        <v>958</v>
      </c>
      <c r="T10" s="24">
        <v>176614</v>
      </c>
      <c r="U10" s="21">
        <v>0</v>
      </c>
      <c r="V10" s="24">
        <v>0</v>
      </c>
      <c r="W10" s="23">
        <v>7138</v>
      </c>
      <c r="X10" s="24">
        <v>123775</v>
      </c>
      <c r="Y10" s="46">
        <v>252</v>
      </c>
      <c r="Z10" s="24">
        <v>250170</v>
      </c>
      <c r="AA10" s="23">
        <v>24753</v>
      </c>
      <c r="AB10" s="24">
        <v>3031974</v>
      </c>
    </row>
    <row r="11" spans="1:28" s="6" customFormat="1" ht="18.75" customHeight="1">
      <c r="A11" s="19" t="s">
        <v>66</v>
      </c>
      <c r="B11" s="48" t="s">
        <v>13</v>
      </c>
      <c r="C11" s="23">
        <v>113990</v>
      </c>
      <c r="D11" s="43">
        <v>11357761</v>
      </c>
      <c r="E11" s="38">
        <v>64240</v>
      </c>
      <c r="F11" s="22">
        <v>4297828</v>
      </c>
      <c r="G11" s="23">
        <v>4715</v>
      </c>
      <c r="H11" s="24">
        <v>1228507</v>
      </c>
      <c r="I11" s="21">
        <v>18531</v>
      </c>
      <c r="J11" s="24">
        <v>2052722</v>
      </c>
      <c r="K11" s="23">
        <v>3085</v>
      </c>
      <c r="L11" s="24">
        <v>713613</v>
      </c>
      <c r="M11" s="21">
        <v>866</v>
      </c>
      <c r="N11" s="24">
        <v>331092</v>
      </c>
      <c r="O11" s="23">
        <v>1282</v>
      </c>
      <c r="P11" s="24">
        <v>899729</v>
      </c>
      <c r="Q11" s="21">
        <v>58</v>
      </c>
      <c r="R11" s="24">
        <v>75496</v>
      </c>
      <c r="S11" s="23">
        <v>429</v>
      </c>
      <c r="T11" s="24">
        <v>88209</v>
      </c>
      <c r="U11" s="21">
        <v>250</v>
      </c>
      <c r="V11" s="24">
        <v>9225</v>
      </c>
      <c r="W11" s="23">
        <v>14742</v>
      </c>
      <c r="X11" s="24">
        <v>356297</v>
      </c>
      <c r="Y11" s="46">
        <v>271</v>
      </c>
      <c r="Z11" s="24">
        <v>190923</v>
      </c>
      <c r="AA11" s="23">
        <v>5521</v>
      </c>
      <c r="AB11" s="24">
        <v>1114120</v>
      </c>
    </row>
    <row r="12" spans="1:28" s="6" customFormat="1" ht="18.75" customHeight="1">
      <c r="A12" s="19" t="s">
        <v>65</v>
      </c>
      <c r="B12" s="48" t="s">
        <v>13</v>
      </c>
      <c r="C12" s="23">
        <v>119641</v>
      </c>
      <c r="D12" s="43">
        <v>9969801</v>
      </c>
      <c r="E12" s="38">
        <v>69584</v>
      </c>
      <c r="F12" s="22">
        <v>2931896</v>
      </c>
      <c r="G12" s="23">
        <v>5691</v>
      </c>
      <c r="H12" s="24">
        <v>1426392</v>
      </c>
      <c r="I12" s="21">
        <v>28277</v>
      </c>
      <c r="J12" s="24">
        <v>2446794</v>
      </c>
      <c r="K12" s="23">
        <v>6271</v>
      </c>
      <c r="L12" s="24">
        <v>1119647</v>
      </c>
      <c r="M12" s="21">
        <v>1303</v>
      </c>
      <c r="N12" s="24">
        <v>482612</v>
      </c>
      <c r="O12" s="23">
        <v>853</v>
      </c>
      <c r="P12" s="24">
        <v>549834</v>
      </c>
      <c r="Q12" s="21">
        <v>97</v>
      </c>
      <c r="R12" s="24">
        <v>92703</v>
      </c>
      <c r="S12" s="23">
        <v>248</v>
      </c>
      <c r="T12" s="24">
        <v>65418</v>
      </c>
      <c r="U12" s="21">
        <v>13</v>
      </c>
      <c r="V12" s="24">
        <v>2146</v>
      </c>
      <c r="W12" s="23">
        <v>3727</v>
      </c>
      <c r="X12" s="24">
        <v>76854</v>
      </c>
      <c r="Y12" s="46">
        <v>138</v>
      </c>
      <c r="Z12" s="24">
        <v>137147</v>
      </c>
      <c r="AA12" s="23">
        <v>3439</v>
      </c>
      <c r="AB12" s="24">
        <v>638358</v>
      </c>
    </row>
    <row r="13" spans="1:28" s="6" customFormat="1" ht="18.75" customHeight="1" thickBot="1">
      <c r="A13" s="13" t="s">
        <v>64</v>
      </c>
      <c r="B13" s="14" t="s">
        <v>13</v>
      </c>
      <c r="C13" s="17">
        <f aca="true" t="shared" si="0" ref="C13:C25">E13+G13+I13+K13+M13+O13+Q13+S13+U13+W13+Y13+AA13</f>
        <v>110258</v>
      </c>
      <c r="D13" s="42">
        <f aca="true" t="shared" si="1" ref="D13:D25">F13+H13+J13+L13+N13+P13+R13+T13+V13+X13+Z13+AB13</f>
        <v>8839453</v>
      </c>
      <c r="E13" s="49">
        <v>58421</v>
      </c>
      <c r="F13" s="16">
        <v>2986632</v>
      </c>
      <c r="G13" s="17">
        <v>6652</v>
      </c>
      <c r="H13" s="18">
        <v>1281557</v>
      </c>
      <c r="I13" s="61">
        <v>23683</v>
      </c>
      <c r="J13" s="62">
        <f aca="true" t="shared" si="2" ref="J13:Z13">SUM(J14:J25)</f>
        <v>1484421</v>
      </c>
      <c r="K13" s="17">
        <v>6664</v>
      </c>
      <c r="L13" s="18">
        <f t="shared" si="2"/>
        <v>963214</v>
      </c>
      <c r="M13" s="15">
        <v>1155</v>
      </c>
      <c r="N13" s="18">
        <v>444008</v>
      </c>
      <c r="O13" s="17">
        <v>504</v>
      </c>
      <c r="P13" s="18">
        <f t="shared" si="2"/>
        <v>237111</v>
      </c>
      <c r="Q13" s="15">
        <f t="shared" si="2"/>
        <v>104</v>
      </c>
      <c r="R13" s="18">
        <v>96695</v>
      </c>
      <c r="S13" s="17">
        <v>47</v>
      </c>
      <c r="T13" s="18">
        <v>11308</v>
      </c>
      <c r="U13" s="15">
        <f t="shared" si="2"/>
        <v>2410</v>
      </c>
      <c r="V13" s="18">
        <f t="shared" si="2"/>
        <v>181592</v>
      </c>
      <c r="W13" s="47">
        <f t="shared" si="2"/>
        <v>3162</v>
      </c>
      <c r="X13" s="18">
        <f t="shared" si="2"/>
        <v>77658</v>
      </c>
      <c r="Y13" s="47">
        <f t="shared" si="2"/>
        <v>192</v>
      </c>
      <c r="Z13" s="18">
        <f t="shared" si="2"/>
        <v>321608</v>
      </c>
      <c r="AA13" s="63">
        <v>7264</v>
      </c>
      <c r="AB13" s="62">
        <v>753649</v>
      </c>
    </row>
    <row r="14" spans="1:28" s="6" customFormat="1" ht="16.5" customHeight="1" thickTop="1">
      <c r="A14" s="19" t="s">
        <v>64</v>
      </c>
      <c r="B14" s="20" t="s">
        <v>1</v>
      </c>
      <c r="C14" s="23">
        <f t="shared" si="0"/>
        <v>4290</v>
      </c>
      <c r="D14" s="43">
        <f t="shared" si="1"/>
        <v>407240</v>
      </c>
      <c r="E14" s="38">
        <v>2345</v>
      </c>
      <c r="F14" s="22">
        <v>130848</v>
      </c>
      <c r="G14" s="23">
        <v>874</v>
      </c>
      <c r="H14" s="24">
        <v>157068</v>
      </c>
      <c r="I14" s="21">
        <v>0</v>
      </c>
      <c r="J14" s="24">
        <v>0</v>
      </c>
      <c r="K14" s="23">
        <v>12</v>
      </c>
      <c r="L14" s="24">
        <v>1268</v>
      </c>
      <c r="M14" s="21">
        <v>148</v>
      </c>
      <c r="N14" s="24">
        <v>40435</v>
      </c>
      <c r="O14" s="23">
        <v>0</v>
      </c>
      <c r="P14" s="24">
        <v>0</v>
      </c>
      <c r="Q14" s="46">
        <v>7</v>
      </c>
      <c r="R14" s="24">
        <v>6445</v>
      </c>
      <c r="S14" s="23">
        <v>3</v>
      </c>
      <c r="T14" s="24">
        <v>1033</v>
      </c>
      <c r="U14" s="21">
        <v>0</v>
      </c>
      <c r="V14" s="24">
        <v>0</v>
      </c>
      <c r="W14" s="60">
        <v>0</v>
      </c>
      <c r="X14" s="24">
        <v>0</v>
      </c>
      <c r="Y14" s="60">
        <v>0</v>
      </c>
      <c r="Z14" s="24">
        <v>0</v>
      </c>
      <c r="AA14" s="23">
        <v>901</v>
      </c>
      <c r="AB14" s="24">
        <v>70143</v>
      </c>
    </row>
    <row r="15" spans="1:28" s="6" customFormat="1" ht="16.5" customHeight="1">
      <c r="A15" s="19"/>
      <c r="B15" s="20" t="s">
        <v>2</v>
      </c>
      <c r="C15" s="23">
        <f t="shared" si="0"/>
        <v>8851</v>
      </c>
      <c r="D15" s="43">
        <f t="shared" si="1"/>
        <v>693332</v>
      </c>
      <c r="E15" s="38">
        <v>7677</v>
      </c>
      <c r="F15" s="22">
        <v>492784</v>
      </c>
      <c r="G15" s="23">
        <v>628</v>
      </c>
      <c r="H15" s="24">
        <v>122974</v>
      </c>
      <c r="I15" s="21">
        <v>0</v>
      </c>
      <c r="J15" s="24">
        <v>0</v>
      </c>
      <c r="K15" s="23">
        <v>9</v>
      </c>
      <c r="L15" s="24">
        <v>825</v>
      </c>
      <c r="M15" s="21">
        <v>91</v>
      </c>
      <c r="N15" s="24">
        <v>30235</v>
      </c>
      <c r="O15" s="23">
        <v>0</v>
      </c>
      <c r="P15" s="24">
        <v>0</v>
      </c>
      <c r="Q15" s="46">
        <v>2</v>
      </c>
      <c r="R15" s="24">
        <v>1496</v>
      </c>
      <c r="S15" s="23">
        <v>8</v>
      </c>
      <c r="T15" s="24">
        <v>1130</v>
      </c>
      <c r="U15" s="21">
        <v>0</v>
      </c>
      <c r="V15" s="24">
        <v>0</v>
      </c>
      <c r="W15" s="23">
        <v>0</v>
      </c>
      <c r="X15" s="24">
        <v>0</v>
      </c>
      <c r="Y15" s="21">
        <v>0</v>
      </c>
      <c r="Z15" s="24">
        <v>0</v>
      </c>
      <c r="AA15" s="23">
        <v>436</v>
      </c>
      <c r="AB15" s="24">
        <v>43888</v>
      </c>
    </row>
    <row r="16" spans="1:28" s="6" customFormat="1" ht="16.5" customHeight="1">
      <c r="A16" s="19"/>
      <c r="B16" s="20" t="s">
        <v>3</v>
      </c>
      <c r="C16" s="23">
        <f t="shared" si="0"/>
        <v>9613</v>
      </c>
      <c r="D16" s="43">
        <f t="shared" si="1"/>
        <v>884457</v>
      </c>
      <c r="E16" s="38">
        <v>7712</v>
      </c>
      <c r="F16" s="22">
        <v>518320</v>
      </c>
      <c r="G16" s="23">
        <v>1038</v>
      </c>
      <c r="H16" s="24">
        <v>251671</v>
      </c>
      <c r="I16" s="21">
        <v>0</v>
      </c>
      <c r="J16" s="24">
        <v>0</v>
      </c>
      <c r="K16" s="23">
        <v>8</v>
      </c>
      <c r="L16" s="24">
        <v>615</v>
      </c>
      <c r="M16" s="21">
        <v>177</v>
      </c>
      <c r="N16" s="24">
        <v>52859</v>
      </c>
      <c r="O16" s="23">
        <v>0</v>
      </c>
      <c r="P16" s="24">
        <v>0</v>
      </c>
      <c r="Q16" s="21">
        <v>23</v>
      </c>
      <c r="R16" s="24">
        <v>18645</v>
      </c>
      <c r="S16" s="23">
        <v>8</v>
      </c>
      <c r="T16" s="24">
        <v>1317</v>
      </c>
      <c r="U16" s="21">
        <v>0</v>
      </c>
      <c r="V16" s="24">
        <v>0</v>
      </c>
      <c r="W16" s="23">
        <v>0</v>
      </c>
      <c r="X16" s="24">
        <v>0</v>
      </c>
      <c r="Y16" s="21">
        <v>0</v>
      </c>
      <c r="Z16" s="24">
        <v>0</v>
      </c>
      <c r="AA16" s="23">
        <v>647</v>
      </c>
      <c r="AB16" s="24">
        <v>41030</v>
      </c>
    </row>
    <row r="17" spans="1:28" s="6" customFormat="1" ht="16.5" customHeight="1">
      <c r="A17" s="19"/>
      <c r="B17" s="20" t="s">
        <v>4</v>
      </c>
      <c r="C17" s="23">
        <f t="shared" si="0"/>
        <v>2816</v>
      </c>
      <c r="D17" s="43">
        <f t="shared" si="1"/>
        <v>350591</v>
      </c>
      <c r="E17" s="38">
        <v>879</v>
      </c>
      <c r="F17" s="22">
        <v>60674</v>
      </c>
      <c r="G17" s="23">
        <v>541</v>
      </c>
      <c r="H17" s="24">
        <v>143266</v>
      </c>
      <c r="I17" s="21">
        <v>0</v>
      </c>
      <c r="J17" s="24">
        <v>0</v>
      </c>
      <c r="K17" s="23">
        <v>10</v>
      </c>
      <c r="L17" s="24">
        <v>891</v>
      </c>
      <c r="M17" s="21">
        <v>202</v>
      </c>
      <c r="N17" s="24">
        <v>49159</v>
      </c>
      <c r="O17" s="23">
        <v>0</v>
      </c>
      <c r="P17" s="24">
        <v>0</v>
      </c>
      <c r="Q17" s="21">
        <v>13</v>
      </c>
      <c r="R17" s="24">
        <v>15240</v>
      </c>
      <c r="S17" s="23">
        <v>2</v>
      </c>
      <c r="T17" s="24">
        <v>569</v>
      </c>
      <c r="U17" s="21">
        <v>0</v>
      </c>
      <c r="V17" s="24">
        <v>0</v>
      </c>
      <c r="W17" s="23">
        <v>0</v>
      </c>
      <c r="X17" s="24">
        <v>0</v>
      </c>
      <c r="Y17" s="21">
        <v>0</v>
      </c>
      <c r="Z17" s="24">
        <v>0</v>
      </c>
      <c r="AA17" s="23">
        <v>1169</v>
      </c>
      <c r="AB17" s="24">
        <v>80792</v>
      </c>
    </row>
    <row r="18" spans="1:28" s="6" customFormat="1" ht="16.5" customHeight="1">
      <c r="A18" s="19"/>
      <c r="B18" s="20" t="s">
        <v>5</v>
      </c>
      <c r="C18" s="23">
        <f t="shared" si="0"/>
        <v>7656</v>
      </c>
      <c r="D18" s="43">
        <f t="shared" si="1"/>
        <v>568286</v>
      </c>
      <c r="E18" s="38">
        <v>5626</v>
      </c>
      <c r="F18" s="22">
        <v>304435</v>
      </c>
      <c r="G18" s="23">
        <v>1109</v>
      </c>
      <c r="H18" s="24">
        <v>151791</v>
      </c>
      <c r="I18" s="21">
        <v>0</v>
      </c>
      <c r="J18" s="24">
        <v>0</v>
      </c>
      <c r="K18" s="23">
        <v>8</v>
      </c>
      <c r="L18" s="24">
        <v>687</v>
      </c>
      <c r="M18" s="21">
        <v>86</v>
      </c>
      <c r="N18" s="24">
        <v>15387</v>
      </c>
      <c r="O18" s="23">
        <v>10</v>
      </c>
      <c r="P18" s="24">
        <v>4128</v>
      </c>
      <c r="Q18" s="21">
        <v>6</v>
      </c>
      <c r="R18" s="24">
        <v>4852</v>
      </c>
      <c r="S18" s="23">
        <v>2</v>
      </c>
      <c r="T18" s="24">
        <v>648</v>
      </c>
      <c r="U18" s="21">
        <v>0</v>
      </c>
      <c r="V18" s="24">
        <v>0</v>
      </c>
      <c r="W18" s="23">
        <v>0</v>
      </c>
      <c r="X18" s="24">
        <v>0</v>
      </c>
      <c r="Y18" s="21">
        <v>0</v>
      </c>
      <c r="Z18" s="24">
        <v>0</v>
      </c>
      <c r="AA18" s="23">
        <v>809</v>
      </c>
      <c r="AB18" s="24">
        <v>86358</v>
      </c>
    </row>
    <row r="19" spans="1:28" s="6" customFormat="1" ht="16.5" customHeight="1">
      <c r="A19" s="19"/>
      <c r="B19" s="20" t="s">
        <v>6</v>
      </c>
      <c r="C19" s="23">
        <f t="shared" si="0"/>
        <v>1631</v>
      </c>
      <c r="D19" s="43">
        <f t="shared" si="1"/>
        <v>219191</v>
      </c>
      <c r="E19" s="38">
        <v>551</v>
      </c>
      <c r="F19" s="22">
        <v>25735</v>
      </c>
      <c r="G19" s="23">
        <v>100</v>
      </c>
      <c r="H19" s="24">
        <v>17563</v>
      </c>
      <c r="I19" s="21">
        <v>471</v>
      </c>
      <c r="J19" s="24">
        <v>10386</v>
      </c>
      <c r="K19" s="53">
        <v>0</v>
      </c>
      <c r="L19" s="24">
        <v>40</v>
      </c>
      <c r="M19" s="21">
        <v>54</v>
      </c>
      <c r="N19" s="24">
        <v>13345</v>
      </c>
      <c r="O19" s="23">
        <v>151</v>
      </c>
      <c r="P19" s="24">
        <v>79066</v>
      </c>
      <c r="Q19" s="53">
        <v>5</v>
      </c>
      <c r="R19" s="24">
        <v>3751</v>
      </c>
      <c r="S19" s="45">
        <v>0</v>
      </c>
      <c r="T19" s="24">
        <v>71</v>
      </c>
      <c r="U19" s="21">
        <v>0</v>
      </c>
      <c r="V19" s="24">
        <v>0</v>
      </c>
      <c r="W19" s="23">
        <v>0</v>
      </c>
      <c r="X19" s="24">
        <v>0</v>
      </c>
      <c r="Y19" s="21">
        <v>0</v>
      </c>
      <c r="Z19" s="24">
        <v>0</v>
      </c>
      <c r="AA19" s="23">
        <v>299</v>
      </c>
      <c r="AB19" s="24">
        <v>69234</v>
      </c>
    </row>
    <row r="20" spans="1:28" s="6" customFormat="1" ht="16.5" customHeight="1">
      <c r="A20" s="19"/>
      <c r="B20" s="20" t="s">
        <v>7</v>
      </c>
      <c r="C20" s="23">
        <f t="shared" si="0"/>
        <v>1511</v>
      </c>
      <c r="D20" s="43">
        <f t="shared" si="1"/>
        <v>354733</v>
      </c>
      <c r="E20" s="38">
        <v>11</v>
      </c>
      <c r="F20" s="22">
        <v>560</v>
      </c>
      <c r="G20" s="23">
        <v>38</v>
      </c>
      <c r="H20" s="24">
        <v>5149</v>
      </c>
      <c r="I20" s="21">
        <v>706</v>
      </c>
      <c r="J20" s="24">
        <v>90351</v>
      </c>
      <c r="K20" s="45">
        <v>187</v>
      </c>
      <c r="L20" s="24">
        <v>18153</v>
      </c>
      <c r="M20" s="21">
        <v>40</v>
      </c>
      <c r="N20" s="24">
        <v>15263</v>
      </c>
      <c r="O20" s="23">
        <v>253</v>
      </c>
      <c r="P20" s="24">
        <v>116454</v>
      </c>
      <c r="Q20" s="21">
        <v>11</v>
      </c>
      <c r="R20" s="24">
        <v>10899</v>
      </c>
      <c r="S20" s="45">
        <v>0</v>
      </c>
      <c r="T20" s="24">
        <v>11</v>
      </c>
      <c r="U20" s="45">
        <v>1</v>
      </c>
      <c r="V20" s="24">
        <v>384</v>
      </c>
      <c r="W20" s="45">
        <v>0</v>
      </c>
      <c r="X20" s="24">
        <v>9</v>
      </c>
      <c r="Y20" s="21">
        <v>0</v>
      </c>
      <c r="Z20" s="24">
        <v>0</v>
      </c>
      <c r="AA20" s="23">
        <v>264</v>
      </c>
      <c r="AB20" s="24">
        <v>97500</v>
      </c>
    </row>
    <row r="21" spans="1:28" s="6" customFormat="1" ht="16.5" customHeight="1">
      <c r="A21" s="19"/>
      <c r="B21" s="20" t="s">
        <v>8</v>
      </c>
      <c r="C21" s="23">
        <f t="shared" si="0"/>
        <v>4190</v>
      </c>
      <c r="D21" s="43">
        <f t="shared" si="1"/>
        <v>539862</v>
      </c>
      <c r="E21" s="38">
        <v>5</v>
      </c>
      <c r="F21" s="22">
        <v>213</v>
      </c>
      <c r="G21" s="23">
        <v>13</v>
      </c>
      <c r="H21" s="24">
        <v>1449</v>
      </c>
      <c r="I21" s="21">
        <v>691</v>
      </c>
      <c r="J21" s="24">
        <v>190237</v>
      </c>
      <c r="K21" s="23">
        <v>2085</v>
      </c>
      <c r="L21" s="24">
        <v>239728</v>
      </c>
      <c r="M21" s="21">
        <v>27</v>
      </c>
      <c r="N21" s="24">
        <v>7145</v>
      </c>
      <c r="O21" s="23">
        <v>8</v>
      </c>
      <c r="P21" s="24">
        <v>3070</v>
      </c>
      <c r="Q21" s="21">
        <v>11</v>
      </c>
      <c r="R21" s="24">
        <v>10254</v>
      </c>
      <c r="S21" s="45">
        <v>0</v>
      </c>
      <c r="T21" s="24">
        <v>13</v>
      </c>
      <c r="U21" s="46">
        <v>529</v>
      </c>
      <c r="V21" s="58">
        <v>44964</v>
      </c>
      <c r="W21" s="23">
        <v>23</v>
      </c>
      <c r="X21" s="24">
        <v>929</v>
      </c>
      <c r="Y21" s="21">
        <v>0</v>
      </c>
      <c r="Z21" s="24">
        <v>0</v>
      </c>
      <c r="AA21" s="23">
        <v>798</v>
      </c>
      <c r="AB21" s="24">
        <v>41860</v>
      </c>
    </row>
    <row r="22" spans="1:28" s="6" customFormat="1" ht="16.5" customHeight="1">
      <c r="A22" s="19"/>
      <c r="B22" s="20" t="s">
        <v>9</v>
      </c>
      <c r="C22" s="23">
        <f t="shared" si="0"/>
        <v>23736</v>
      </c>
      <c r="D22" s="43">
        <f t="shared" si="1"/>
        <v>1540018</v>
      </c>
      <c r="E22" s="38">
        <v>13286</v>
      </c>
      <c r="F22" s="22">
        <v>537674</v>
      </c>
      <c r="G22" s="23">
        <v>437</v>
      </c>
      <c r="H22" s="24">
        <v>51422</v>
      </c>
      <c r="I22" s="21">
        <v>5289</v>
      </c>
      <c r="J22" s="24">
        <v>427195</v>
      </c>
      <c r="K22" s="23">
        <v>2092</v>
      </c>
      <c r="L22" s="24">
        <v>269497</v>
      </c>
      <c r="M22" s="21">
        <v>27</v>
      </c>
      <c r="N22" s="24">
        <v>6219</v>
      </c>
      <c r="O22" s="23">
        <v>60</v>
      </c>
      <c r="P22" s="24">
        <v>25093</v>
      </c>
      <c r="Q22" s="21">
        <v>11</v>
      </c>
      <c r="R22" s="24">
        <v>9823</v>
      </c>
      <c r="S22" s="45">
        <v>3</v>
      </c>
      <c r="T22" s="24">
        <v>415</v>
      </c>
      <c r="U22" s="45">
        <v>1843</v>
      </c>
      <c r="V22" s="24">
        <v>132425</v>
      </c>
      <c r="W22" s="23">
        <v>54</v>
      </c>
      <c r="X22" s="24">
        <v>2034</v>
      </c>
      <c r="Y22" s="46">
        <v>0</v>
      </c>
      <c r="Z22" s="24">
        <v>29</v>
      </c>
      <c r="AA22" s="23">
        <v>634</v>
      </c>
      <c r="AB22" s="24">
        <v>78192</v>
      </c>
    </row>
    <row r="23" spans="1:28" s="6" customFormat="1" ht="16.5" customHeight="1">
      <c r="A23" s="19"/>
      <c r="B23" s="20" t="s">
        <v>10</v>
      </c>
      <c r="C23" s="23">
        <f t="shared" si="0"/>
        <v>30019</v>
      </c>
      <c r="D23" s="43">
        <f t="shared" si="1"/>
        <v>1737215</v>
      </c>
      <c r="E23" s="38">
        <v>7829</v>
      </c>
      <c r="F23" s="22">
        <v>335216</v>
      </c>
      <c r="G23" s="23">
        <v>422</v>
      </c>
      <c r="H23" s="24">
        <v>78455</v>
      </c>
      <c r="I23" s="21">
        <v>16452</v>
      </c>
      <c r="J23" s="24">
        <v>760891</v>
      </c>
      <c r="K23" s="23">
        <v>2201</v>
      </c>
      <c r="L23" s="24">
        <v>414955</v>
      </c>
      <c r="M23" s="21">
        <v>40</v>
      </c>
      <c r="N23" s="24">
        <v>17422</v>
      </c>
      <c r="O23" s="23">
        <v>21</v>
      </c>
      <c r="P23" s="24">
        <v>9167</v>
      </c>
      <c r="Q23" s="21">
        <v>7</v>
      </c>
      <c r="R23" s="24">
        <v>7539</v>
      </c>
      <c r="S23" s="23">
        <v>16</v>
      </c>
      <c r="T23" s="24">
        <v>4081</v>
      </c>
      <c r="U23" s="46">
        <v>37</v>
      </c>
      <c r="V23" s="24">
        <v>3819</v>
      </c>
      <c r="W23" s="23">
        <v>2553</v>
      </c>
      <c r="X23" s="24">
        <v>59606</v>
      </c>
      <c r="Y23" s="46">
        <v>0</v>
      </c>
      <c r="Z23" s="24">
        <v>179</v>
      </c>
      <c r="AA23" s="23">
        <v>441</v>
      </c>
      <c r="AB23" s="24">
        <v>45885</v>
      </c>
    </row>
    <row r="24" spans="1:28" s="6" customFormat="1" ht="16.5" customHeight="1">
      <c r="A24" s="19"/>
      <c r="B24" s="20" t="s">
        <v>11</v>
      </c>
      <c r="C24" s="23">
        <f t="shared" si="0"/>
        <v>10455</v>
      </c>
      <c r="D24" s="43">
        <f t="shared" si="1"/>
        <v>975201</v>
      </c>
      <c r="E24" s="38">
        <v>8156</v>
      </c>
      <c r="F24" s="22">
        <v>388529</v>
      </c>
      <c r="G24" s="23">
        <v>680</v>
      </c>
      <c r="H24" s="24">
        <v>123523</v>
      </c>
      <c r="I24" s="21">
        <v>75</v>
      </c>
      <c r="J24" s="24">
        <v>5361</v>
      </c>
      <c r="K24" s="23">
        <v>47</v>
      </c>
      <c r="L24" s="24">
        <v>16097</v>
      </c>
      <c r="M24" s="21">
        <v>104</v>
      </c>
      <c r="N24" s="24">
        <v>60653</v>
      </c>
      <c r="O24" s="45">
        <v>0</v>
      </c>
      <c r="P24" s="24">
        <v>133</v>
      </c>
      <c r="Q24" s="21">
        <v>5</v>
      </c>
      <c r="R24" s="24">
        <v>4483</v>
      </c>
      <c r="S24" s="23">
        <v>2</v>
      </c>
      <c r="T24" s="24">
        <v>656</v>
      </c>
      <c r="U24" s="21">
        <v>0</v>
      </c>
      <c r="V24" s="24">
        <v>0</v>
      </c>
      <c r="W24" s="45">
        <v>532</v>
      </c>
      <c r="X24" s="24">
        <v>15080</v>
      </c>
      <c r="Y24" s="21">
        <v>192</v>
      </c>
      <c r="Z24" s="24">
        <v>321400</v>
      </c>
      <c r="AA24" s="23">
        <v>662</v>
      </c>
      <c r="AB24" s="24">
        <v>39286</v>
      </c>
    </row>
    <row r="25" spans="1:28" s="6" customFormat="1" ht="16.5" customHeight="1">
      <c r="A25" s="25"/>
      <c r="B25" s="26" t="s">
        <v>12</v>
      </c>
      <c r="C25" s="31">
        <f t="shared" si="0"/>
        <v>5490</v>
      </c>
      <c r="D25" s="44">
        <f t="shared" si="1"/>
        <v>569327</v>
      </c>
      <c r="E25" s="39">
        <v>4345</v>
      </c>
      <c r="F25" s="34">
        <v>191643</v>
      </c>
      <c r="G25" s="31">
        <v>774</v>
      </c>
      <c r="H25" s="32">
        <v>177227</v>
      </c>
      <c r="I25" s="33">
        <v>0</v>
      </c>
      <c r="J25" s="32">
        <v>0</v>
      </c>
      <c r="K25" s="31">
        <v>4</v>
      </c>
      <c r="L25" s="32">
        <v>458</v>
      </c>
      <c r="M25" s="33">
        <v>160</v>
      </c>
      <c r="N25" s="32">
        <v>135885</v>
      </c>
      <c r="O25" s="31">
        <v>0</v>
      </c>
      <c r="P25" s="32">
        <v>0</v>
      </c>
      <c r="Q25" s="33">
        <v>3</v>
      </c>
      <c r="R25" s="32">
        <v>3267</v>
      </c>
      <c r="S25" s="31">
        <v>4</v>
      </c>
      <c r="T25" s="32">
        <v>1363</v>
      </c>
      <c r="U25" s="33">
        <v>0</v>
      </c>
      <c r="V25" s="32">
        <v>0</v>
      </c>
      <c r="W25" s="33">
        <v>0</v>
      </c>
      <c r="X25" s="32">
        <v>0</v>
      </c>
      <c r="Y25" s="33">
        <v>0</v>
      </c>
      <c r="Z25" s="32">
        <v>0</v>
      </c>
      <c r="AA25" s="31">
        <v>200</v>
      </c>
      <c r="AB25" s="32">
        <v>59484</v>
      </c>
    </row>
    <row r="26" s="6" customFormat="1" ht="16.5" customHeight="1">
      <c r="A26" s="6" t="s">
        <v>19</v>
      </c>
    </row>
    <row r="27" s="6" customFormat="1" ht="16.5" customHeight="1">
      <c r="A27" s="6" t="s">
        <v>20</v>
      </c>
    </row>
    <row r="28" s="1" customFormat="1" ht="15" customHeight="1"/>
    <row r="29" s="1" customFormat="1" ht="15" customHeight="1"/>
    <row r="30" ht="13.5">
      <c r="E30" s="57"/>
    </row>
  </sheetData>
  <sheetProtection/>
  <mergeCells count="14">
    <mergeCell ref="A4:B5"/>
    <mergeCell ref="C4:D4"/>
    <mergeCell ref="E4:F4"/>
    <mergeCell ref="G4:H4"/>
    <mergeCell ref="I4:J4"/>
    <mergeCell ref="K4:L4"/>
    <mergeCell ref="M4:N4"/>
    <mergeCell ref="O4:P4"/>
    <mergeCell ref="Y4:Z4"/>
    <mergeCell ref="AA4:AB4"/>
    <mergeCell ref="Q4:R4"/>
    <mergeCell ref="S4:T4"/>
    <mergeCell ref="U4:V4"/>
    <mergeCell ref="W4:X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2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7.59765625" style="56" customWidth="1"/>
    <col min="2" max="2" width="5.5" style="56" customWidth="1"/>
    <col min="3" max="3" width="10.5" style="56" bestFit="1" customWidth="1"/>
    <col min="4" max="4" width="13.8984375" style="56" bestFit="1" customWidth="1"/>
    <col min="5" max="5" width="8.59765625" style="56" customWidth="1"/>
    <col min="6" max="6" width="11.8984375" style="56" customWidth="1"/>
    <col min="7" max="7" width="8.59765625" style="56" customWidth="1"/>
    <col min="8" max="8" width="11.8984375" style="56" customWidth="1"/>
    <col min="9" max="9" width="8.59765625" style="56" customWidth="1"/>
    <col min="10" max="10" width="11.8984375" style="56" customWidth="1"/>
    <col min="11" max="11" width="8.59765625" style="56" customWidth="1"/>
    <col min="12" max="12" width="11.8984375" style="56" customWidth="1"/>
    <col min="13" max="13" width="8.59765625" style="56" customWidth="1"/>
    <col min="14" max="14" width="11.8984375" style="56" customWidth="1"/>
    <col min="15" max="15" width="8.59765625" style="56" customWidth="1"/>
    <col min="16" max="16" width="11.8984375" style="56" customWidth="1"/>
    <col min="17" max="17" width="8.59765625" style="56" customWidth="1"/>
    <col min="18" max="18" width="11.8984375" style="56" customWidth="1"/>
    <col min="19" max="19" width="8.59765625" style="56" customWidth="1"/>
    <col min="20" max="20" width="11.8984375" style="56" customWidth="1"/>
    <col min="21" max="21" width="8.59765625" style="56" customWidth="1"/>
    <col min="22" max="22" width="11.8984375" style="56" customWidth="1"/>
    <col min="23" max="23" width="8.59765625" style="56" customWidth="1"/>
    <col min="24" max="24" width="11.8984375" style="56" customWidth="1"/>
    <col min="25" max="25" width="8.59765625" style="56" customWidth="1"/>
    <col min="26" max="26" width="11.8984375" style="56" customWidth="1"/>
    <col min="27" max="27" width="8.59765625" style="56" customWidth="1"/>
    <col min="28" max="28" width="11.8984375" style="56" customWidth="1"/>
    <col min="29" max="16384" width="9" style="56" customWidth="1"/>
  </cols>
  <sheetData>
    <row r="1" ht="16.5" customHeight="1">
      <c r="A1" s="5" t="s">
        <v>81</v>
      </c>
    </row>
    <row r="2" ht="13.5" customHeight="1"/>
    <row r="3" s="6" customFormat="1" ht="16.5" customHeight="1">
      <c r="A3" s="6" t="s">
        <v>31</v>
      </c>
    </row>
    <row r="4" spans="1:28" s="6" customFormat="1" ht="18.75" customHeight="1">
      <c r="A4" s="120" t="s">
        <v>18</v>
      </c>
      <c r="B4" s="121"/>
      <c r="C4" s="124" t="s">
        <v>0</v>
      </c>
      <c r="D4" s="125"/>
      <c r="E4" s="126" t="s">
        <v>46</v>
      </c>
      <c r="F4" s="113"/>
      <c r="G4" s="112" t="s">
        <v>47</v>
      </c>
      <c r="H4" s="113"/>
      <c r="I4" s="112" t="s">
        <v>48</v>
      </c>
      <c r="J4" s="113"/>
      <c r="K4" s="112" t="s">
        <v>23</v>
      </c>
      <c r="L4" s="113"/>
      <c r="M4" s="112" t="s">
        <v>24</v>
      </c>
      <c r="N4" s="113"/>
      <c r="O4" s="112" t="s">
        <v>49</v>
      </c>
      <c r="P4" s="113"/>
      <c r="Q4" s="112" t="s">
        <v>25</v>
      </c>
      <c r="R4" s="113"/>
      <c r="S4" s="112" t="s">
        <v>50</v>
      </c>
      <c r="T4" s="113"/>
      <c r="U4" s="112" t="s">
        <v>51</v>
      </c>
      <c r="V4" s="113"/>
      <c r="W4" s="112" t="s">
        <v>52</v>
      </c>
      <c r="X4" s="113"/>
      <c r="Y4" s="112" t="s">
        <v>53</v>
      </c>
      <c r="Z4" s="113"/>
      <c r="AA4" s="112" t="s">
        <v>30</v>
      </c>
      <c r="AB4" s="113"/>
    </row>
    <row r="5" spans="1:28" s="6" customFormat="1" ht="18.75" customHeight="1">
      <c r="A5" s="122"/>
      <c r="B5" s="123"/>
      <c r="C5" s="7" t="s">
        <v>16</v>
      </c>
      <c r="D5" s="40" t="s">
        <v>17</v>
      </c>
      <c r="E5" s="35" t="s">
        <v>16</v>
      </c>
      <c r="F5" s="10" t="s">
        <v>17</v>
      </c>
      <c r="G5" s="7" t="s">
        <v>16</v>
      </c>
      <c r="H5" s="8" t="s">
        <v>17</v>
      </c>
      <c r="I5" s="9" t="s">
        <v>16</v>
      </c>
      <c r="J5" s="10" t="s">
        <v>17</v>
      </c>
      <c r="K5" s="7" t="s">
        <v>16</v>
      </c>
      <c r="L5" s="8" t="s">
        <v>17</v>
      </c>
      <c r="M5" s="9" t="s">
        <v>16</v>
      </c>
      <c r="N5" s="10" t="s">
        <v>17</v>
      </c>
      <c r="O5" s="7" t="s">
        <v>16</v>
      </c>
      <c r="P5" s="8" t="s">
        <v>17</v>
      </c>
      <c r="Q5" s="9" t="s">
        <v>16</v>
      </c>
      <c r="R5" s="8" t="s">
        <v>17</v>
      </c>
      <c r="S5" s="7" t="s">
        <v>16</v>
      </c>
      <c r="T5" s="8" t="s">
        <v>17</v>
      </c>
      <c r="U5" s="9" t="s">
        <v>16</v>
      </c>
      <c r="V5" s="10" t="s">
        <v>17</v>
      </c>
      <c r="W5" s="7" t="s">
        <v>16</v>
      </c>
      <c r="X5" s="8" t="s">
        <v>17</v>
      </c>
      <c r="Y5" s="9" t="s">
        <v>16</v>
      </c>
      <c r="Z5" s="8" t="s">
        <v>17</v>
      </c>
      <c r="AA5" s="7" t="s">
        <v>16</v>
      </c>
      <c r="AB5" s="8" t="s">
        <v>17</v>
      </c>
    </row>
    <row r="6" spans="1:28" s="6" customFormat="1" ht="18.75" customHeight="1">
      <c r="A6" s="11" t="s">
        <v>71</v>
      </c>
      <c r="B6" s="12" t="s">
        <v>13</v>
      </c>
      <c r="C6" s="27">
        <v>114577</v>
      </c>
      <c r="D6" s="41">
        <v>11911835</v>
      </c>
      <c r="E6" s="36">
        <v>53813</v>
      </c>
      <c r="F6" s="30">
        <v>3896698</v>
      </c>
      <c r="G6" s="27">
        <v>3869</v>
      </c>
      <c r="H6" s="28">
        <v>966494</v>
      </c>
      <c r="I6" s="29">
        <v>28526</v>
      </c>
      <c r="J6" s="28">
        <v>1985504</v>
      </c>
      <c r="K6" s="27">
        <v>3602</v>
      </c>
      <c r="L6" s="28">
        <v>587516</v>
      </c>
      <c r="M6" s="29">
        <v>1345</v>
      </c>
      <c r="N6" s="28">
        <v>705161</v>
      </c>
      <c r="O6" s="27">
        <v>1579</v>
      </c>
      <c r="P6" s="28">
        <v>856075</v>
      </c>
      <c r="Q6" s="29">
        <v>118</v>
      </c>
      <c r="R6" s="28">
        <v>212500</v>
      </c>
      <c r="S6" s="27">
        <v>741</v>
      </c>
      <c r="T6" s="28">
        <v>140828</v>
      </c>
      <c r="U6" s="29">
        <v>3364</v>
      </c>
      <c r="V6" s="28">
        <v>78773</v>
      </c>
      <c r="W6" s="27">
        <v>2280</v>
      </c>
      <c r="X6" s="28">
        <v>43754</v>
      </c>
      <c r="Y6" s="29">
        <v>251</v>
      </c>
      <c r="Z6" s="28">
        <v>257030</v>
      </c>
      <c r="AA6" s="27">
        <v>15089</v>
      </c>
      <c r="AB6" s="28">
        <v>2181502</v>
      </c>
    </row>
    <row r="7" spans="1:28" s="6" customFormat="1" ht="18.75" customHeight="1">
      <c r="A7" s="19" t="s">
        <v>70</v>
      </c>
      <c r="B7" s="48" t="s">
        <v>13</v>
      </c>
      <c r="C7" s="23">
        <v>137948</v>
      </c>
      <c r="D7" s="43">
        <v>14562957</v>
      </c>
      <c r="E7" s="38">
        <v>55786</v>
      </c>
      <c r="F7" s="22">
        <v>4489157</v>
      </c>
      <c r="G7" s="23">
        <v>3310</v>
      </c>
      <c r="H7" s="24">
        <v>992926</v>
      </c>
      <c r="I7" s="21">
        <v>27899</v>
      </c>
      <c r="J7" s="24">
        <v>2081572</v>
      </c>
      <c r="K7" s="23">
        <v>3869</v>
      </c>
      <c r="L7" s="24">
        <v>893617</v>
      </c>
      <c r="M7" s="21">
        <v>1490</v>
      </c>
      <c r="N7" s="24">
        <v>754333</v>
      </c>
      <c r="O7" s="23">
        <v>1487</v>
      </c>
      <c r="P7" s="24">
        <v>916744</v>
      </c>
      <c r="Q7" s="21">
        <v>108</v>
      </c>
      <c r="R7" s="24">
        <v>195023</v>
      </c>
      <c r="S7" s="23">
        <v>725</v>
      </c>
      <c r="T7" s="24">
        <v>89569</v>
      </c>
      <c r="U7" s="21">
        <v>1891</v>
      </c>
      <c r="V7" s="24">
        <v>144705</v>
      </c>
      <c r="W7" s="23">
        <v>16112</v>
      </c>
      <c r="X7" s="24">
        <v>382795</v>
      </c>
      <c r="Y7" s="46">
        <v>360</v>
      </c>
      <c r="Z7" s="24">
        <v>326991</v>
      </c>
      <c r="AA7" s="23">
        <v>24912</v>
      </c>
      <c r="AB7" s="24">
        <v>3295525</v>
      </c>
    </row>
    <row r="8" spans="1:28" s="6" customFormat="1" ht="18.75" customHeight="1">
      <c r="A8" s="19" t="s">
        <v>69</v>
      </c>
      <c r="B8" s="48" t="s">
        <v>13</v>
      </c>
      <c r="C8" s="23">
        <v>107569</v>
      </c>
      <c r="D8" s="43">
        <v>12723109</v>
      </c>
      <c r="E8" s="38">
        <v>50408</v>
      </c>
      <c r="F8" s="22">
        <v>4285036</v>
      </c>
      <c r="G8" s="23">
        <v>3511</v>
      </c>
      <c r="H8" s="24">
        <v>1040834</v>
      </c>
      <c r="I8" s="21">
        <v>34098</v>
      </c>
      <c r="J8" s="24">
        <v>2522079</v>
      </c>
      <c r="K8" s="23">
        <v>4992</v>
      </c>
      <c r="L8" s="24">
        <v>660467</v>
      </c>
      <c r="M8" s="21">
        <v>1176</v>
      </c>
      <c r="N8" s="24">
        <v>718806</v>
      </c>
      <c r="O8" s="23">
        <v>1422</v>
      </c>
      <c r="P8" s="24">
        <v>853981</v>
      </c>
      <c r="Q8" s="21">
        <v>103</v>
      </c>
      <c r="R8" s="24">
        <v>171971</v>
      </c>
      <c r="S8" s="23">
        <v>482</v>
      </c>
      <c r="T8" s="24">
        <v>114497</v>
      </c>
      <c r="U8" s="21">
        <v>794</v>
      </c>
      <c r="V8" s="24">
        <v>72318</v>
      </c>
      <c r="W8" s="23">
        <v>52</v>
      </c>
      <c r="X8" s="24">
        <v>2180</v>
      </c>
      <c r="Y8" s="46">
        <v>250</v>
      </c>
      <c r="Z8" s="24">
        <v>366073</v>
      </c>
      <c r="AA8" s="23">
        <v>10282</v>
      </c>
      <c r="AB8" s="24">
        <v>1914866</v>
      </c>
    </row>
    <row r="9" spans="1:28" s="6" customFormat="1" ht="18.75" customHeight="1">
      <c r="A9" s="19" t="s">
        <v>68</v>
      </c>
      <c r="B9" s="48" t="s">
        <v>13</v>
      </c>
      <c r="C9" s="23">
        <v>125679</v>
      </c>
      <c r="D9" s="43">
        <v>15281221</v>
      </c>
      <c r="E9" s="38">
        <v>66253</v>
      </c>
      <c r="F9" s="22">
        <v>6179462</v>
      </c>
      <c r="G9" s="23">
        <v>3669</v>
      </c>
      <c r="H9" s="24">
        <v>1200338</v>
      </c>
      <c r="I9" s="21">
        <v>30698</v>
      </c>
      <c r="J9" s="24">
        <v>2575115</v>
      </c>
      <c r="K9" s="23">
        <v>1852</v>
      </c>
      <c r="L9" s="24">
        <v>257255</v>
      </c>
      <c r="M9" s="21">
        <v>972</v>
      </c>
      <c r="N9" s="24">
        <v>586883</v>
      </c>
      <c r="O9" s="23">
        <v>1462</v>
      </c>
      <c r="P9" s="24">
        <v>895714</v>
      </c>
      <c r="Q9" s="21">
        <v>32</v>
      </c>
      <c r="R9" s="24">
        <v>54093</v>
      </c>
      <c r="S9" s="23">
        <v>233</v>
      </c>
      <c r="T9" s="24">
        <v>70889</v>
      </c>
      <c r="U9" s="21">
        <v>19</v>
      </c>
      <c r="V9" s="24">
        <v>2464</v>
      </c>
      <c r="W9" s="23">
        <v>681</v>
      </c>
      <c r="X9" s="24">
        <v>20030</v>
      </c>
      <c r="Y9" s="46">
        <v>102</v>
      </c>
      <c r="Z9" s="24">
        <v>191992</v>
      </c>
      <c r="AA9" s="23">
        <v>19706</v>
      </c>
      <c r="AB9" s="24">
        <v>3246986</v>
      </c>
    </row>
    <row r="10" spans="1:28" s="6" customFormat="1" ht="18.75" customHeight="1">
      <c r="A10" s="19" t="s">
        <v>67</v>
      </c>
      <c r="B10" s="48" t="s">
        <v>13</v>
      </c>
      <c r="C10" s="23">
        <v>128052</v>
      </c>
      <c r="D10" s="43">
        <v>12154590</v>
      </c>
      <c r="E10" s="38">
        <v>55825</v>
      </c>
      <c r="F10" s="22">
        <v>3325149</v>
      </c>
      <c r="G10" s="23">
        <v>3603</v>
      </c>
      <c r="H10" s="24">
        <v>926514</v>
      </c>
      <c r="I10" s="21">
        <v>28797</v>
      </c>
      <c r="J10" s="24">
        <v>2548975</v>
      </c>
      <c r="K10" s="23">
        <v>4772</v>
      </c>
      <c r="L10" s="24">
        <v>619477</v>
      </c>
      <c r="M10" s="21">
        <v>863</v>
      </c>
      <c r="N10" s="24">
        <v>414570</v>
      </c>
      <c r="O10" s="23">
        <v>1019</v>
      </c>
      <c r="P10" s="24">
        <v>615953</v>
      </c>
      <c r="Q10" s="21">
        <v>72</v>
      </c>
      <c r="R10" s="24">
        <v>121419</v>
      </c>
      <c r="S10" s="23">
        <v>958</v>
      </c>
      <c r="T10" s="24">
        <v>176614</v>
      </c>
      <c r="U10" s="21">
        <v>0</v>
      </c>
      <c r="V10" s="24">
        <v>0</v>
      </c>
      <c r="W10" s="23">
        <v>7138</v>
      </c>
      <c r="X10" s="24">
        <v>123775</v>
      </c>
      <c r="Y10" s="46">
        <v>252</v>
      </c>
      <c r="Z10" s="24">
        <v>250170</v>
      </c>
      <c r="AA10" s="23">
        <v>24753</v>
      </c>
      <c r="AB10" s="24">
        <v>3031974</v>
      </c>
    </row>
    <row r="11" spans="1:28" s="6" customFormat="1" ht="18.75" customHeight="1">
      <c r="A11" s="19" t="s">
        <v>66</v>
      </c>
      <c r="B11" s="48" t="s">
        <v>13</v>
      </c>
      <c r="C11" s="23">
        <v>113990</v>
      </c>
      <c r="D11" s="43">
        <v>11357761</v>
      </c>
      <c r="E11" s="38">
        <v>64240</v>
      </c>
      <c r="F11" s="22">
        <v>4297828</v>
      </c>
      <c r="G11" s="23">
        <v>4715</v>
      </c>
      <c r="H11" s="24">
        <v>1228507</v>
      </c>
      <c r="I11" s="21">
        <v>18531</v>
      </c>
      <c r="J11" s="24">
        <v>2052722</v>
      </c>
      <c r="K11" s="23">
        <v>3085</v>
      </c>
      <c r="L11" s="24">
        <v>713613</v>
      </c>
      <c r="M11" s="21">
        <v>866</v>
      </c>
      <c r="N11" s="24">
        <v>331092</v>
      </c>
      <c r="O11" s="23">
        <v>1282</v>
      </c>
      <c r="P11" s="24">
        <v>899729</v>
      </c>
      <c r="Q11" s="21">
        <v>58</v>
      </c>
      <c r="R11" s="24">
        <v>75496</v>
      </c>
      <c r="S11" s="23">
        <v>429</v>
      </c>
      <c r="T11" s="24">
        <v>88209</v>
      </c>
      <c r="U11" s="21">
        <v>250</v>
      </c>
      <c r="V11" s="24">
        <v>9225</v>
      </c>
      <c r="W11" s="23">
        <v>14742</v>
      </c>
      <c r="X11" s="24">
        <v>356297</v>
      </c>
      <c r="Y11" s="46">
        <v>271</v>
      </c>
      <c r="Z11" s="24">
        <v>190923</v>
      </c>
      <c r="AA11" s="23">
        <v>5521</v>
      </c>
      <c r="AB11" s="24">
        <v>1114120</v>
      </c>
    </row>
    <row r="12" spans="1:28" s="6" customFormat="1" ht="18.75" customHeight="1" thickBot="1">
      <c r="A12" s="13" t="s">
        <v>65</v>
      </c>
      <c r="B12" s="14" t="s">
        <v>13</v>
      </c>
      <c r="C12" s="17">
        <f aca="true" t="shared" si="0" ref="C12:C24">E12+G12+I12+K12+M12+O12+Q12+S12+U12+W12+Y12+AA12</f>
        <v>119641</v>
      </c>
      <c r="D12" s="42">
        <f aca="true" t="shared" si="1" ref="D12:D24">F12+H12+J12+L12+N12+P12+R12+T12+V12+X12+Z12+AB12</f>
        <v>9969801</v>
      </c>
      <c r="E12" s="49">
        <v>69584</v>
      </c>
      <c r="F12" s="16">
        <v>2931896</v>
      </c>
      <c r="G12" s="17">
        <v>5691</v>
      </c>
      <c r="H12" s="18">
        <v>1426392</v>
      </c>
      <c r="I12" s="15">
        <v>28277</v>
      </c>
      <c r="J12" s="18">
        <v>2446794</v>
      </c>
      <c r="K12" s="17">
        <f aca="true" t="shared" si="2" ref="K12:Y12">SUM(K13:K24)</f>
        <v>6271</v>
      </c>
      <c r="L12" s="18">
        <v>1119647</v>
      </c>
      <c r="M12" s="15">
        <v>1303</v>
      </c>
      <c r="N12" s="18">
        <f t="shared" si="2"/>
        <v>482612</v>
      </c>
      <c r="O12" s="17">
        <f t="shared" si="2"/>
        <v>853</v>
      </c>
      <c r="P12" s="18">
        <f t="shared" si="2"/>
        <v>549834</v>
      </c>
      <c r="Q12" s="15">
        <f t="shared" si="2"/>
        <v>97</v>
      </c>
      <c r="R12" s="18">
        <v>92703</v>
      </c>
      <c r="S12" s="17">
        <v>248</v>
      </c>
      <c r="T12" s="18">
        <f t="shared" si="2"/>
        <v>65418</v>
      </c>
      <c r="U12" s="15">
        <f t="shared" si="2"/>
        <v>13</v>
      </c>
      <c r="V12" s="18">
        <f t="shared" si="2"/>
        <v>2146</v>
      </c>
      <c r="W12" s="59">
        <f t="shared" si="2"/>
        <v>3727</v>
      </c>
      <c r="X12" s="18">
        <f t="shared" si="2"/>
        <v>76854</v>
      </c>
      <c r="Y12" s="15">
        <f t="shared" si="2"/>
        <v>138</v>
      </c>
      <c r="Z12" s="18">
        <v>137147</v>
      </c>
      <c r="AA12" s="17">
        <v>3439</v>
      </c>
      <c r="AB12" s="18">
        <v>638358</v>
      </c>
    </row>
    <row r="13" spans="1:28" s="6" customFormat="1" ht="16.5" customHeight="1" thickTop="1">
      <c r="A13" s="19" t="s">
        <v>65</v>
      </c>
      <c r="B13" s="20" t="s">
        <v>1</v>
      </c>
      <c r="C13" s="23">
        <f t="shared" si="0"/>
        <v>4150</v>
      </c>
      <c r="D13" s="43">
        <f t="shared" si="1"/>
        <v>414835</v>
      </c>
      <c r="E13" s="38">
        <v>3378</v>
      </c>
      <c r="F13" s="22">
        <v>203024</v>
      </c>
      <c r="G13" s="23">
        <v>501</v>
      </c>
      <c r="H13" s="24">
        <v>149226</v>
      </c>
      <c r="I13" s="21">
        <v>0</v>
      </c>
      <c r="J13" s="24">
        <v>0</v>
      </c>
      <c r="K13" s="23">
        <v>3</v>
      </c>
      <c r="L13" s="24">
        <v>222</v>
      </c>
      <c r="M13" s="21">
        <v>75</v>
      </c>
      <c r="N13" s="24">
        <v>19763</v>
      </c>
      <c r="O13" s="23">
        <v>0</v>
      </c>
      <c r="P13" s="24">
        <v>0</v>
      </c>
      <c r="Q13" s="46">
        <v>2</v>
      </c>
      <c r="R13" s="24">
        <v>2044</v>
      </c>
      <c r="S13" s="23">
        <v>90</v>
      </c>
      <c r="T13" s="24">
        <v>21826</v>
      </c>
      <c r="U13" s="21">
        <v>0</v>
      </c>
      <c r="V13" s="24">
        <v>0</v>
      </c>
      <c r="W13" s="23">
        <v>0</v>
      </c>
      <c r="X13" s="24">
        <v>0</v>
      </c>
      <c r="Y13" s="21">
        <v>0</v>
      </c>
      <c r="Z13" s="24">
        <v>0</v>
      </c>
      <c r="AA13" s="23">
        <v>101</v>
      </c>
      <c r="AB13" s="24">
        <v>18730</v>
      </c>
    </row>
    <row r="14" spans="1:28" s="6" customFormat="1" ht="16.5" customHeight="1">
      <c r="A14" s="19"/>
      <c r="B14" s="20" t="s">
        <v>2</v>
      </c>
      <c r="C14" s="23">
        <f t="shared" si="0"/>
        <v>5531</v>
      </c>
      <c r="D14" s="43">
        <f t="shared" si="1"/>
        <v>444714</v>
      </c>
      <c r="E14" s="38">
        <v>4576</v>
      </c>
      <c r="F14" s="22">
        <v>227452</v>
      </c>
      <c r="G14" s="23">
        <v>655</v>
      </c>
      <c r="H14" s="24">
        <v>148133</v>
      </c>
      <c r="I14" s="21">
        <v>0</v>
      </c>
      <c r="J14" s="24">
        <v>0</v>
      </c>
      <c r="K14" s="23">
        <v>3</v>
      </c>
      <c r="L14" s="24">
        <v>299</v>
      </c>
      <c r="M14" s="21">
        <v>79</v>
      </c>
      <c r="N14" s="24">
        <v>23344</v>
      </c>
      <c r="O14" s="23">
        <v>0</v>
      </c>
      <c r="P14" s="24">
        <v>0</v>
      </c>
      <c r="Q14" s="46">
        <v>2</v>
      </c>
      <c r="R14" s="24">
        <v>2443</v>
      </c>
      <c r="S14" s="23">
        <v>65</v>
      </c>
      <c r="T14" s="24">
        <v>18409</v>
      </c>
      <c r="U14" s="21">
        <v>0</v>
      </c>
      <c r="V14" s="24">
        <v>0</v>
      </c>
      <c r="W14" s="23">
        <v>0</v>
      </c>
      <c r="X14" s="24">
        <v>0</v>
      </c>
      <c r="Y14" s="21">
        <v>0</v>
      </c>
      <c r="Z14" s="24">
        <v>0</v>
      </c>
      <c r="AA14" s="23">
        <v>151</v>
      </c>
      <c r="AB14" s="24">
        <v>24634</v>
      </c>
    </row>
    <row r="15" spans="1:28" s="6" customFormat="1" ht="16.5" customHeight="1">
      <c r="A15" s="19"/>
      <c r="B15" s="20" t="s">
        <v>3</v>
      </c>
      <c r="C15" s="23">
        <f t="shared" si="0"/>
        <v>7840</v>
      </c>
      <c r="D15" s="43">
        <f t="shared" si="1"/>
        <v>707813</v>
      </c>
      <c r="E15" s="38">
        <v>6315</v>
      </c>
      <c r="F15" s="22">
        <v>286375</v>
      </c>
      <c r="G15" s="23">
        <v>933</v>
      </c>
      <c r="H15" s="24">
        <v>245588</v>
      </c>
      <c r="I15" s="21">
        <v>0</v>
      </c>
      <c r="J15" s="24">
        <v>0</v>
      </c>
      <c r="K15" s="23">
        <v>9</v>
      </c>
      <c r="L15" s="24">
        <v>900</v>
      </c>
      <c r="M15" s="21">
        <v>256</v>
      </c>
      <c r="N15" s="24">
        <v>74703</v>
      </c>
      <c r="O15" s="23">
        <v>0</v>
      </c>
      <c r="P15" s="24">
        <v>0</v>
      </c>
      <c r="Q15" s="21">
        <v>19</v>
      </c>
      <c r="R15" s="24">
        <v>27787</v>
      </c>
      <c r="S15" s="23">
        <v>54</v>
      </c>
      <c r="T15" s="24">
        <v>13522</v>
      </c>
      <c r="U15" s="21">
        <v>0</v>
      </c>
      <c r="V15" s="24">
        <v>0</v>
      </c>
      <c r="W15" s="23">
        <v>0</v>
      </c>
      <c r="X15" s="24">
        <v>0</v>
      </c>
      <c r="Y15" s="21">
        <v>0</v>
      </c>
      <c r="Z15" s="24">
        <v>0</v>
      </c>
      <c r="AA15" s="23">
        <v>254</v>
      </c>
      <c r="AB15" s="24">
        <v>58938</v>
      </c>
    </row>
    <row r="16" spans="1:28" s="6" customFormat="1" ht="16.5" customHeight="1">
      <c r="A16" s="19"/>
      <c r="B16" s="20" t="s">
        <v>4</v>
      </c>
      <c r="C16" s="23">
        <f t="shared" si="0"/>
        <v>4807</v>
      </c>
      <c r="D16" s="43">
        <f t="shared" si="1"/>
        <v>486193</v>
      </c>
      <c r="E16" s="38">
        <v>3539</v>
      </c>
      <c r="F16" s="22">
        <v>168694</v>
      </c>
      <c r="G16" s="23">
        <v>905</v>
      </c>
      <c r="H16" s="24">
        <v>227240</v>
      </c>
      <c r="I16" s="21">
        <v>0</v>
      </c>
      <c r="J16" s="24">
        <v>0</v>
      </c>
      <c r="K16" s="23">
        <v>14</v>
      </c>
      <c r="L16" s="24">
        <v>1256</v>
      </c>
      <c r="M16" s="21">
        <v>115</v>
      </c>
      <c r="N16" s="24">
        <v>32511</v>
      </c>
      <c r="O16" s="23">
        <v>2</v>
      </c>
      <c r="P16" s="24">
        <v>2671</v>
      </c>
      <c r="Q16" s="21">
        <v>13</v>
      </c>
      <c r="R16" s="24">
        <v>13048</v>
      </c>
      <c r="S16" s="23">
        <v>10</v>
      </c>
      <c r="T16" s="24">
        <v>3350</v>
      </c>
      <c r="U16" s="21">
        <v>0</v>
      </c>
      <c r="V16" s="24">
        <v>0</v>
      </c>
      <c r="W16" s="23">
        <v>0</v>
      </c>
      <c r="X16" s="24">
        <v>0</v>
      </c>
      <c r="Y16" s="21">
        <v>0</v>
      </c>
      <c r="Z16" s="24">
        <v>0</v>
      </c>
      <c r="AA16" s="23">
        <v>209</v>
      </c>
      <c r="AB16" s="24">
        <v>37423</v>
      </c>
    </row>
    <row r="17" spans="1:28" s="6" customFormat="1" ht="16.5" customHeight="1">
      <c r="A17" s="19"/>
      <c r="B17" s="20" t="s">
        <v>5</v>
      </c>
      <c r="C17" s="23">
        <f t="shared" si="0"/>
        <v>11013</v>
      </c>
      <c r="D17" s="43">
        <f t="shared" si="1"/>
        <v>715130</v>
      </c>
      <c r="E17" s="38">
        <v>9677</v>
      </c>
      <c r="F17" s="22">
        <v>413555</v>
      </c>
      <c r="G17" s="23">
        <v>860</v>
      </c>
      <c r="H17" s="24">
        <v>192279</v>
      </c>
      <c r="I17" s="21">
        <v>0</v>
      </c>
      <c r="J17" s="24">
        <v>0</v>
      </c>
      <c r="K17" s="23">
        <v>10</v>
      </c>
      <c r="L17" s="24">
        <v>866</v>
      </c>
      <c r="M17" s="21">
        <v>94</v>
      </c>
      <c r="N17" s="24">
        <v>23316</v>
      </c>
      <c r="O17" s="23">
        <v>90</v>
      </c>
      <c r="P17" s="24">
        <v>46579</v>
      </c>
      <c r="Q17" s="21">
        <v>2</v>
      </c>
      <c r="R17" s="24">
        <v>1482</v>
      </c>
      <c r="S17" s="23">
        <v>12</v>
      </c>
      <c r="T17" s="24">
        <v>2861</v>
      </c>
      <c r="U17" s="21">
        <v>0</v>
      </c>
      <c r="V17" s="24">
        <v>0</v>
      </c>
      <c r="W17" s="23">
        <v>0</v>
      </c>
      <c r="X17" s="24">
        <v>0</v>
      </c>
      <c r="Y17" s="21">
        <v>0</v>
      </c>
      <c r="Z17" s="24">
        <v>0</v>
      </c>
      <c r="AA17" s="23">
        <v>268</v>
      </c>
      <c r="AB17" s="24">
        <v>34192</v>
      </c>
    </row>
    <row r="18" spans="1:28" s="6" customFormat="1" ht="16.5" customHeight="1">
      <c r="A18" s="19"/>
      <c r="B18" s="20" t="s">
        <v>6</v>
      </c>
      <c r="C18" s="23">
        <f t="shared" si="0"/>
        <v>1897</v>
      </c>
      <c r="D18" s="43">
        <f t="shared" si="1"/>
        <v>443075</v>
      </c>
      <c r="E18" s="38">
        <v>437</v>
      </c>
      <c r="F18" s="22">
        <v>15015</v>
      </c>
      <c r="G18" s="23">
        <v>76</v>
      </c>
      <c r="H18" s="24">
        <v>17737</v>
      </c>
      <c r="I18" s="21">
        <v>604</v>
      </c>
      <c r="J18" s="24">
        <v>12488</v>
      </c>
      <c r="K18" s="53">
        <v>0</v>
      </c>
      <c r="L18" s="24">
        <v>9</v>
      </c>
      <c r="M18" s="21">
        <v>77</v>
      </c>
      <c r="N18" s="24">
        <v>18444</v>
      </c>
      <c r="O18" s="23">
        <v>459</v>
      </c>
      <c r="P18" s="24">
        <v>297768</v>
      </c>
      <c r="Q18" s="21">
        <v>7</v>
      </c>
      <c r="R18" s="24">
        <v>4728</v>
      </c>
      <c r="S18" s="45">
        <v>5</v>
      </c>
      <c r="T18" s="24">
        <v>1041</v>
      </c>
      <c r="U18" s="21">
        <v>0</v>
      </c>
      <c r="V18" s="24">
        <v>0</v>
      </c>
      <c r="W18" s="23">
        <v>0</v>
      </c>
      <c r="X18" s="24">
        <v>0</v>
      </c>
      <c r="Y18" s="21">
        <v>0</v>
      </c>
      <c r="Z18" s="24">
        <v>0</v>
      </c>
      <c r="AA18" s="23">
        <v>232</v>
      </c>
      <c r="AB18" s="24">
        <v>75845</v>
      </c>
    </row>
    <row r="19" spans="1:28" s="6" customFormat="1" ht="16.5" customHeight="1">
      <c r="A19" s="19"/>
      <c r="B19" s="20" t="s">
        <v>7</v>
      </c>
      <c r="C19" s="23">
        <f t="shared" si="0"/>
        <v>2229</v>
      </c>
      <c r="D19" s="43">
        <f t="shared" si="1"/>
        <v>763478</v>
      </c>
      <c r="E19" s="38">
        <v>13</v>
      </c>
      <c r="F19" s="22">
        <v>539</v>
      </c>
      <c r="G19" s="23">
        <v>24</v>
      </c>
      <c r="H19" s="24">
        <v>3691</v>
      </c>
      <c r="I19" s="21">
        <v>642</v>
      </c>
      <c r="J19" s="24">
        <v>245646</v>
      </c>
      <c r="K19" s="45">
        <v>949</v>
      </c>
      <c r="L19" s="24">
        <v>175103</v>
      </c>
      <c r="M19" s="21">
        <v>72</v>
      </c>
      <c r="N19" s="24">
        <v>20514</v>
      </c>
      <c r="O19" s="23">
        <v>230</v>
      </c>
      <c r="P19" s="24">
        <v>170462</v>
      </c>
      <c r="Q19" s="21">
        <v>16</v>
      </c>
      <c r="R19" s="24">
        <v>10390</v>
      </c>
      <c r="S19" s="45">
        <v>0</v>
      </c>
      <c r="T19" s="24">
        <v>88</v>
      </c>
      <c r="U19" s="45">
        <v>4</v>
      </c>
      <c r="V19" s="24">
        <v>756</v>
      </c>
      <c r="W19" s="45">
        <v>0</v>
      </c>
      <c r="X19" s="24">
        <v>125</v>
      </c>
      <c r="Y19" s="21">
        <v>0</v>
      </c>
      <c r="Z19" s="24">
        <v>0</v>
      </c>
      <c r="AA19" s="23">
        <v>279</v>
      </c>
      <c r="AB19" s="24">
        <v>136164</v>
      </c>
    </row>
    <row r="20" spans="1:28" s="6" customFormat="1" ht="16.5" customHeight="1">
      <c r="A20" s="19"/>
      <c r="B20" s="20" t="s">
        <v>8</v>
      </c>
      <c r="C20" s="23">
        <f t="shared" si="0"/>
        <v>3021</v>
      </c>
      <c r="D20" s="43">
        <f t="shared" si="1"/>
        <v>712175</v>
      </c>
      <c r="E20" s="38">
        <v>12</v>
      </c>
      <c r="F20" s="22">
        <v>597</v>
      </c>
      <c r="G20" s="23">
        <v>9</v>
      </c>
      <c r="H20" s="24">
        <v>1512</v>
      </c>
      <c r="I20" s="21">
        <v>905</v>
      </c>
      <c r="J20" s="24">
        <v>315895</v>
      </c>
      <c r="K20" s="23">
        <v>1812</v>
      </c>
      <c r="L20" s="24">
        <v>344307</v>
      </c>
      <c r="M20" s="21">
        <v>49</v>
      </c>
      <c r="N20" s="24">
        <v>14510</v>
      </c>
      <c r="O20" s="23">
        <v>0</v>
      </c>
      <c r="P20" s="24">
        <v>0</v>
      </c>
      <c r="Q20" s="21">
        <v>11</v>
      </c>
      <c r="R20" s="24">
        <v>9265</v>
      </c>
      <c r="S20" s="45">
        <v>0</v>
      </c>
      <c r="T20" s="24">
        <v>40</v>
      </c>
      <c r="U20" s="46">
        <v>9</v>
      </c>
      <c r="V20" s="58">
        <v>1366</v>
      </c>
      <c r="W20" s="23">
        <v>6</v>
      </c>
      <c r="X20" s="24">
        <v>520</v>
      </c>
      <c r="Y20" s="21">
        <v>0</v>
      </c>
      <c r="Z20" s="24">
        <v>0</v>
      </c>
      <c r="AA20" s="23">
        <v>208</v>
      </c>
      <c r="AB20" s="24">
        <v>24163</v>
      </c>
    </row>
    <row r="21" spans="1:28" s="6" customFormat="1" ht="16.5" customHeight="1">
      <c r="A21" s="19"/>
      <c r="B21" s="20" t="s">
        <v>9</v>
      </c>
      <c r="C21" s="23">
        <f t="shared" si="0"/>
        <v>25952</v>
      </c>
      <c r="D21" s="43">
        <f t="shared" si="1"/>
        <v>1673172</v>
      </c>
      <c r="E21" s="38">
        <v>14663</v>
      </c>
      <c r="F21" s="22">
        <v>526185</v>
      </c>
      <c r="G21" s="23">
        <v>390</v>
      </c>
      <c r="H21" s="24">
        <v>68953</v>
      </c>
      <c r="I21" s="21">
        <v>7912</v>
      </c>
      <c r="J21" s="24">
        <v>788726</v>
      </c>
      <c r="K21" s="23">
        <v>786</v>
      </c>
      <c r="L21" s="24">
        <v>137991</v>
      </c>
      <c r="M21" s="21">
        <v>60</v>
      </c>
      <c r="N21" s="24">
        <v>11133</v>
      </c>
      <c r="O21" s="23">
        <v>33</v>
      </c>
      <c r="P21" s="24">
        <v>14579</v>
      </c>
      <c r="Q21" s="21">
        <v>12</v>
      </c>
      <c r="R21" s="24">
        <v>6712</v>
      </c>
      <c r="S21" s="45">
        <v>6</v>
      </c>
      <c r="T21" s="24">
        <v>1611</v>
      </c>
      <c r="U21" s="45">
        <v>0</v>
      </c>
      <c r="V21" s="24">
        <v>4</v>
      </c>
      <c r="W21" s="23">
        <v>1834</v>
      </c>
      <c r="X21" s="24">
        <v>38519</v>
      </c>
      <c r="Y21" s="46">
        <v>0</v>
      </c>
      <c r="Z21" s="24">
        <v>20</v>
      </c>
      <c r="AA21" s="23">
        <v>256</v>
      </c>
      <c r="AB21" s="24">
        <v>78739</v>
      </c>
    </row>
    <row r="22" spans="1:28" s="6" customFormat="1" ht="16.5" customHeight="1">
      <c r="A22" s="19"/>
      <c r="B22" s="20" t="s">
        <v>10</v>
      </c>
      <c r="C22" s="23">
        <f t="shared" si="0"/>
        <v>31952</v>
      </c>
      <c r="D22" s="43">
        <f t="shared" si="1"/>
        <v>1964462</v>
      </c>
      <c r="E22" s="38">
        <v>13457</v>
      </c>
      <c r="F22" s="22">
        <v>518976</v>
      </c>
      <c r="G22" s="23">
        <v>376</v>
      </c>
      <c r="H22" s="24">
        <v>79892</v>
      </c>
      <c r="I22" s="21">
        <v>13964</v>
      </c>
      <c r="J22" s="24">
        <v>881666</v>
      </c>
      <c r="K22" s="23">
        <v>1928</v>
      </c>
      <c r="L22" s="24">
        <v>335375</v>
      </c>
      <c r="M22" s="21">
        <v>64</v>
      </c>
      <c r="N22" s="24">
        <v>22356</v>
      </c>
      <c r="O22" s="23">
        <v>39</v>
      </c>
      <c r="P22" s="24">
        <v>17526</v>
      </c>
      <c r="Q22" s="21">
        <v>6</v>
      </c>
      <c r="R22" s="24">
        <v>5118</v>
      </c>
      <c r="S22" s="23">
        <v>4</v>
      </c>
      <c r="T22" s="24">
        <v>1439</v>
      </c>
      <c r="U22" s="46">
        <v>0</v>
      </c>
      <c r="V22" s="24">
        <v>20</v>
      </c>
      <c r="W22" s="23">
        <v>1780</v>
      </c>
      <c r="X22" s="24">
        <v>35506</v>
      </c>
      <c r="Y22" s="46">
        <v>44</v>
      </c>
      <c r="Z22" s="24">
        <v>36627</v>
      </c>
      <c r="AA22" s="23">
        <v>290</v>
      </c>
      <c r="AB22" s="24">
        <v>29961</v>
      </c>
    </row>
    <row r="23" spans="1:28" s="6" customFormat="1" ht="16.5" customHeight="1">
      <c r="A23" s="19"/>
      <c r="B23" s="20" t="s">
        <v>11</v>
      </c>
      <c r="C23" s="23">
        <f t="shared" si="0"/>
        <v>15127</v>
      </c>
      <c r="D23" s="43">
        <f t="shared" si="1"/>
        <v>1009160</v>
      </c>
      <c r="E23" s="38">
        <v>9052</v>
      </c>
      <c r="F23" s="22">
        <v>384752</v>
      </c>
      <c r="G23" s="23">
        <v>382</v>
      </c>
      <c r="H23" s="24">
        <v>111318</v>
      </c>
      <c r="I23" s="21">
        <v>4249</v>
      </c>
      <c r="J23" s="24">
        <v>202374</v>
      </c>
      <c r="K23" s="23">
        <v>745</v>
      </c>
      <c r="L23" s="24">
        <v>122072</v>
      </c>
      <c r="M23" s="21">
        <v>103</v>
      </c>
      <c r="N23" s="24">
        <v>46798</v>
      </c>
      <c r="O23" s="45">
        <v>0</v>
      </c>
      <c r="P23" s="24">
        <v>249</v>
      </c>
      <c r="Q23" s="21">
        <v>2</v>
      </c>
      <c r="R23" s="24">
        <v>3719</v>
      </c>
      <c r="S23" s="23">
        <v>1</v>
      </c>
      <c r="T23" s="24">
        <v>280</v>
      </c>
      <c r="U23" s="21">
        <v>0</v>
      </c>
      <c r="V23" s="24">
        <v>0</v>
      </c>
      <c r="W23" s="45">
        <v>107</v>
      </c>
      <c r="X23" s="24">
        <v>2165</v>
      </c>
      <c r="Y23" s="21">
        <v>94</v>
      </c>
      <c r="Z23" s="24">
        <v>100499</v>
      </c>
      <c r="AA23" s="23">
        <v>392</v>
      </c>
      <c r="AB23" s="24">
        <v>34934</v>
      </c>
    </row>
    <row r="24" spans="1:28" s="6" customFormat="1" ht="16.5" customHeight="1">
      <c r="A24" s="25"/>
      <c r="B24" s="26" t="s">
        <v>12</v>
      </c>
      <c r="C24" s="31">
        <f t="shared" si="0"/>
        <v>6123</v>
      </c>
      <c r="D24" s="44">
        <f t="shared" si="1"/>
        <v>635593</v>
      </c>
      <c r="E24" s="39">
        <v>4467</v>
      </c>
      <c r="F24" s="34">
        <v>186730</v>
      </c>
      <c r="G24" s="31">
        <v>581</v>
      </c>
      <c r="H24" s="32">
        <v>180822</v>
      </c>
      <c r="I24" s="33">
        <v>0</v>
      </c>
      <c r="J24" s="32">
        <v>0</v>
      </c>
      <c r="K24" s="31">
        <v>12</v>
      </c>
      <c r="L24" s="32">
        <v>1246</v>
      </c>
      <c r="M24" s="33">
        <v>258</v>
      </c>
      <c r="N24" s="32">
        <v>175220</v>
      </c>
      <c r="O24" s="31">
        <v>0</v>
      </c>
      <c r="P24" s="32">
        <v>0</v>
      </c>
      <c r="Q24" s="33">
        <v>5</v>
      </c>
      <c r="R24" s="32">
        <v>5966</v>
      </c>
      <c r="S24" s="31">
        <v>2</v>
      </c>
      <c r="T24" s="32">
        <v>951</v>
      </c>
      <c r="U24" s="33">
        <v>0</v>
      </c>
      <c r="V24" s="32">
        <v>0</v>
      </c>
      <c r="W24" s="55">
        <v>0</v>
      </c>
      <c r="X24" s="32">
        <v>19</v>
      </c>
      <c r="Y24" s="55">
        <v>0</v>
      </c>
      <c r="Z24" s="32">
        <v>2</v>
      </c>
      <c r="AA24" s="31">
        <v>798</v>
      </c>
      <c r="AB24" s="32">
        <v>84637</v>
      </c>
    </row>
    <row r="25" s="6" customFormat="1" ht="16.5" customHeight="1">
      <c r="A25" s="6" t="s">
        <v>19</v>
      </c>
    </row>
    <row r="26" s="6" customFormat="1" ht="16.5" customHeight="1">
      <c r="A26" s="6" t="s">
        <v>20</v>
      </c>
    </row>
    <row r="27" s="1" customFormat="1" ht="15" customHeight="1"/>
    <row r="28" s="1" customFormat="1" ht="15" customHeight="1"/>
    <row r="29" ht="13.5">
      <c r="E29" s="57"/>
    </row>
  </sheetData>
  <sheetProtection/>
  <mergeCells count="14">
    <mergeCell ref="Y4:Z4"/>
    <mergeCell ref="AA4:AB4"/>
    <mergeCell ref="Q4:R4"/>
    <mergeCell ref="S4:T4"/>
    <mergeCell ref="U4:V4"/>
    <mergeCell ref="W4:X4"/>
    <mergeCell ref="I4:J4"/>
    <mergeCell ref="K4:L4"/>
    <mergeCell ref="M4:N4"/>
    <mergeCell ref="O4:P4"/>
    <mergeCell ref="A4:B5"/>
    <mergeCell ref="C4:D4"/>
    <mergeCell ref="E4:F4"/>
    <mergeCell ref="G4:H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2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7.59765625" style="56" customWidth="1"/>
    <col min="2" max="2" width="5.5" style="56" customWidth="1"/>
    <col min="3" max="3" width="10.5" style="56" bestFit="1" customWidth="1"/>
    <col min="4" max="4" width="13.8984375" style="56" bestFit="1" customWidth="1"/>
    <col min="5" max="5" width="8.59765625" style="56" customWidth="1"/>
    <col min="6" max="6" width="11.8984375" style="56" customWidth="1"/>
    <col min="7" max="7" width="8.59765625" style="56" customWidth="1"/>
    <col min="8" max="8" width="11.8984375" style="56" customWidth="1"/>
    <col min="9" max="9" width="8.59765625" style="56" customWidth="1"/>
    <col min="10" max="10" width="11.8984375" style="56" customWidth="1"/>
    <col min="11" max="11" width="8.59765625" style="56" customWidth="1"/>
    <col min="12" max="12" width="11.8984375" style="56" customWidth="1"/>
    <col min="13" max="13" width="8.59765625" style="56" customWidth="1"/>
    <col min="14" max="14" width="11.8984375" style="56" customWidth="1"/>
    <col min="15" max="15" width="8.59765625" style="56" customWidth="1"/>
    <col min="16" max="16" width="11.8984375" style="56" customWidth="1"/>
    <col min="17" max="17" width="8.59765625" style="56" customWidth="1"/>
    <col min="18" max="18" width="11.8984375" style="56" customWidth="1"/>
    <col min="19" max="19" width="8.59765625" style="56" customWidth="1"/>
    <col min="20" max="20" width="11.8984375" style="56" customWidth="1"/>
    <col min="21" max="21" width="8.59765625" style="56" customWidth="1"/>
    <col min="22" max="22" width="11.8984375" style="56" customWidth="1"/>
    <col min="23" max="23" width="8.59765625" style="56" customWidth="1"/>
    <col min="24" max="24" width="11.8984375" style="56" customWidth="1"/>
    <col min="25" max="25" width="8.59765625" style="56" customWidth="1"/>
    <col min="26" max="26" width="11.8984375" style="56" customWidth="1"/>
    <col min="27" max="27" width="8.59765625" style="56" customWidth="1"/>
    <col min="28" max="28" width="11.8984375" style="56" customWidth="1"/>
    <col min="29" max="16384" width="9" style="56" customWidth="1"/>
  </cols>
  <sheetData>
    <row r="1" ht="16.5" customHeight="1">
      <c r="A1" s="5" t="s">
        <v>82</v>
      </c>
    </row>
    <row r="2" ht="13.5" customHeight="1"/>
    <row r="3" s="6" customFormat="1" ht="16.5" customHeight="1">
      <c r="A3" s="6" t="s">
        <v>31</v>
      </c>
    </row>
    <row r="4" spans="1:28" s="6" customFormat="1" ht="18.75" customHeight="1">
      <c r="A4" s="120" t="s">
        <v>18</v>
      </c>
      <c r="B4" s="121"/>
      <c r="C4" s="124" t="s">
        <v>0</v>
      </c>
      <c r="D4" s="125"/>
      <c r="E4" s="126" t="s">
        <v>41</v>
      </c>
      <c r="F4" s="113"/>
      <c r="G4" s="112" t="s">
        <v>42</v>
      </c>
      <c r="H4" s="113"/>
      <c r="I4" s="112" t="s">
        <v>43</v>
      </c>
      <c r="J4" s="113"/>
      <c r="K4" s="112" t="s">
        <v>44</v>
      </c>
      <c r="L4" s="113"/>
      <c r="M4" s="112" t="s">
        <v>24</v>
      </c>
      <c r="N4" s="113"/>
      <c r="O4" s="112" t="s">
        <v>45</v>
      </c>
      <c r="P4" s="113"/>
      <c r="Q4" s="112" t="s">
        <v>25</v>
      </c>
      <c r="R4" s="113"/>
      <c r="S4" s="112" t="s">
        <v>37</v>
      </c>
      <c r="T4" s="113"/>
      <c r="U4" s="112" t="s">
        <v>38</v>
      </c>
      <c r="V4" s="113"/>
      <c r="W4" s="112" t="s">
        <v>39</v>
      </c>
      <c r="X4" s="113"/>
      <c r="Y4" s="112" t="s">
        <v>40</v>
      </c>
      <c r="Z4" s="113"/>
      <c r="AA4" s="112" t="s">
        <v>30</v>
      </c>
      <c r="AB4" s="113"/>
    </row>
    <row r="5" spans="1:28" s="6" customFormat="1" ht="18.75" customHeight="1">
      <c r="A5" s="122"/>
      <c r="B5" s="123"/>
      <c r="C5" s="7" t="s">
        <v>16</v>
      </c>
      <c r="D5" s="40" t="s">
        <v>17</v>
      </c>
      <c r="E5" s="35" t="s">
        <v>16</v>
      </c>
      <c r="F5" s="10" t="s">
        <v>17</v>
      </c>
      <c r="G5" s="7" t="s">
        <v>16</v>
      </c>
      <c r="H5" s="8" t="s">
        <v>17</v>
      </c>
      <c r="I5" s="9" t="s">
        <v>16</v>
      </c>
      <c r="J5" s="10" t="s">
        <v>17</v>
      </c>
      <c r="K5" s="7" t="s">
        <v>16</v>
      </c>
      <c r="L5" s="8" t="s">
        <v>17</v>
      </c>
      <c r="M5" s="9" t="s">
        <v>16</v>
      </c>
      <c r="N5" s="10" t="s">
        <v>17</v>
      </c>
      <c r="O5" s="7" t="s">
        <v>16</v>
      </c>
      <c r="P5" s="8" t="s">
        <v>17</v>
      </c>
      <c r="Q5" s="9" t="s">
        <v>16</v>
      </c>
      <c r="R5" s="8" t="s">
        <v>17</v>
      </c>
      <c r="S5" s="7" t="s">
        <v>16</v>
      </c>
      <c r="T5" s="8" t="s">
        <v>17</v>
      </c>
      <c r="U5" s="9" t="s">
        <v>16</v>
      </c>
      <c r="V5" s="10" t="s">
        <v>17</v>
      </c>
      <c r="W5" s="7" t="s">
        <v>16</v>
      </c>
      <c r="X5" s="8" t="s">
        <v>17</v>
      </c>
      <c r="Y5" s="9" t="s">
        <v>16</v>
      </c>
      <c r="Z5" s="8" t="s">
        <v>17</v>
      </c>
      <c r="AA5" s="7" t="s">
        <v>16</v>
      </c>
      <c r="AB5" s="8" t="s">
        <v>17</v>
      </c>
    </row>
    <row r="6" spans="1:28" s="6" customFormat="1" ht="18.75" customHeight="1">
      <c r="A6" s="11" t="s">
        <v>71</v>
      </c>
      <c r="B6" s="12" t="s">
        <v>13</v>
      </c>
      <c r="C6" s="27">
        <v>114577</v>
      </c>
      <c r="D6" s="41">
        <v>11911835</v>
      </c>
      <c r="E6" s="36">
        <v>53813</v>
      </c>
      <c r="F6" s="30">
        <v>3896698</v>
      </c>
      <c r="G6" s="27">
        <v>3869</v>
      </c>
      <c r="H6" s="28">
        <v>966494</v>
      </c>
      <c r="I6" s="29">
        <v>28526</v>
      </c>
      <c r="J6" s="28">
        <v>1985504</v>
      </c>
      <c r="K6" s="27">
        <v>3602</v>
      </c>
      <c r="L6" s="28">
        <v>587516</v>
      </c>
      <c r="M6" s="29">
        <v>1345</v>
      </c>
      <c r="N6" s="28">
        <v>705161</v>
      </c>
      <c r="O6" s="27">
        <v>1579</v>
      </c>
      <c r="P6" s="28">
        <v>856075</v>
      </c>
      <c r="Q6" s="29">
        <v>118</v>
      </c>
      <c r="R6" s="28">
        <v>212500</v>
      </c>
      <c r="S6" s="27">
        <v>741</v>
      </c>
      <c r="T6" s="28">
        <v>140828</v>
      </c>
      <c r="U6" s="29">
        <v>3364</v>
      </c>
      <c r="V6" s="28">
        <v>78773</v>
      </c>
      <c r="W6" s="27">
        <v>2280</v>
      </c>
      <c r="X6" s="28">
        <v>43754</v>
      </c>
      <c r="Y6" s="29">
        <v>251</v>
      </c>
      <c r="Z6" s="28">
        <v>257030</v>
      </c>
      <c r="AA6" s="27">
        <v>15089</v>
      </c>
      <c r="AB6" s="28">
        <v>2181502</v>
      </c>
    </row>
    <row r="7" spans="1:28" s="6" customFormat="1" ht="18.75" customHeight="1">
      <c r="A7" s="19" t="s">
        <v>70</v>
      </c>
      <c r="B7" s="48" t="s">
        <v>13</v>
      </c>
      <c r="C7" s="23">
        <v>137948</v>
      </c>
      <c r="D7" s="43">
        <v>14562957</v>
      </c>
      <c r="E7" s="38">
        <v>55786</v>
      </c>
      <c r="F7" s="22">
        <v>4489157</v>
      </c>
      <c r="G7" s="23">
        <v>3310</v>
      </c>
      <c r="H7" s="24">
        <v>992926</v>
      </c>
      <c r="I7" s="21">
        <v>27899</v>
      </c>
      <c r="J7" s="24">
        <v>2081572</v>
      </c>
      <c r="K7" s="23">
        <v>3869</v>
      </c>
      <c r="L7" s="24">
        <v>893617</v>
      </c>
      <c r="M7" s="21">
        <v>1490</v>
      </c>
      <c r="N7" s="24">
        <v>754333</v>
      </c>
      <c r="O7" s="23">
        <v>1487</v>
      </c>
      <c r="P7" s="24">
        <v>916744</v>
      </c>
      <c r="Q7" s="21">
        <v>108</v>
      </c>
      <c r="R7" s="24">
        <v>195023</v>
      </c>
      <c r="S7" s="23">
        <v>725</v>
      </c>
      <c r="T7" s="24">
        <v>89569</v>
      </c>
      <c r="U7" s="21">
        <v>1891</v>
      </c>
      <c r="V7" s="24">
        <v>144705</v>
      </c>
      <c r="W7" s="23">
        <v>16112</v>
      </c>
      <c r="X7" s="24">
        <v>382795</v>
      </c>
      <c r="Y7" s="46">
        <v>360</v>
      </c>
      <c r="Z7" s="24">
        <v>326991</v>
      </c>
      <c r="AA7" s="23">
        <v>24912</v>
      </c>
      <c r="AB7" s="24">
        <v>3295525</v>
      </c>
    </row>
    <row r="8" spans="1:28" s="6" customFormat="1" ht="18.75" customHeight="1">
      <c r="A8" s="19" t="s">
        <v>69</v>
      </c>
      <c r="B8" s="48" t="s">
        <v>13</v>
      </c>
      <c r="C8" s="23">
        <v>107569</v>
      </c>
      <c r="D8" s="43">
        <v>12723109</v>
      </c>
      <c r="E8" s="38">
        <v>50408</v>
      </c>
      <c r="F8" s="22">
        <v>4285036</v>
      </c>
      <c r="G8" s="23">
        <v>3511</v>
      </c>
      <c r="H8" s="24">
        <v>1040834</v>
      </c>
      <c r="I8" s="21">
        <v>34098</v>
      </c>
      <c r="J8" s="24">
        <v>2522079</v>
      </c>
      <c r="K8" s="23">
        <v>4992</v>
      </c>
      <c r="L8" s="24">
        <v>660467</v>
      </c>
      <c r="M8" s="21">
        <v>1176</v>
      </c>
      <c r="N8" s="24">
        <v>718806</v>
      </c>
      <c r="O8" s="23">
        <v>1422</v>
      </c>
      <c r="P8" s="24">
        <v>853981</v>
      </c>
      <c r="Q8" s="21">
        <v>103</v>
      </c>
      <c r="R8" s="24">
        <v>171971</v>
      </c>
      <c r="S8" s="23">
        <v>482</v>
      </c>
      <c r="T8" s="24">
        <v>114497</v>
      </c>
      <c r="U8" s="21">
        <v>794</v>
      </c>
      <c r="V8" s="24">
        <v>72318</v>
      </c>
      <c r="W8" s="23">
        <v>52</v>
      </c>
      <c r="X8" s="24">
        <v>2180</v>
      </c>
      <c r="Y8" s="46">
        <v>250</v>
      </c>
      <c r="Z8" s="24">
        <v>366073</v>
      </c>
      <c r="AA8" s="23">
        <v>10282</v>
      </c>
      <c r="AB8" s="24">
        <v>1914866</v>
      </c>
    </row>
    <row r="9" spans="1:28" s="6" customFormat="1" ht="18.75" customHeight="1">
      <c r="A9" s="19" t="s">
        <v>68</v>
      </c>
      <c r="B9" s="48" t="s">
        <v>13</v>
      </c>
      <c r="C9" s="23">
        <v>125679</v>
      </c>
      <c r="D9" s="43">
        <v>15281221</v>
      </c>
      <c r="E9" s="38">
        <v>66253</v>
      </c>
      <c r="F9" s="22">
        <v>6179462</v>
      </c>
      <c r="G9" s="23">
        <v>3669</v>
      </c>
      <c r="H9" s="24">
        <v>1200338</v>
      </c>
      <c r="I9" s="21">
        <v>30698</v>
      </c>
      <c r="J9" s="24">
        <v>2575115</v>
      </c>
      <c r="K9" s="23">
        <v>1852</v>
      </c>
      <c r="L9" s="24">
        <v>257255</v>
      </c>
      <c r="M9" s="21">
        <v>972</v>
      </c>
      <c r="N9" s="24">
        <v>586883</v>
      </c>
      <c r="O9" s="23">
        <v>1462</v>
      </c>
      <c r="P9" s="24">
        <v>895714</v>
      </c>
      <c r="Q9" s="21">
        <v>32</v>
      </c>
      <c r="R9" s="24">
        <v>54093</v>
      </c>
      <c r="S9" s="23">
        <v>233</v>
      </c>
      <c r="T9" s="24">
        <v>70889</v>
      </c>
      <c r="U9" s="21">
        <v>19</v>
      </c>
      <c r="V9" s="24">
        <v>2464</v>
      </c>
      <c r="W9" s="23">
        <v>681</v>
      </c>
      <c r="X9" s="24">
        <v>20030</v>
      </c>
      <c r="Y9" s="46">
        <v>102</v>
      </c>
      <c r="Z9" s="24">
        <v>191992</v>
      </c>
      <c r="AA9" s="23">
        <v>19706</v>
      </c>
      <c r="AB9" s="24">
        <v>3246986</v>
      </c>
    </row>
    <row r="10" spans="1:28" s="6" customFormat="1" ht="18.75" customHeight="1">
      <c r="A10" s="19" t="s">
        <v>67</v>
      </c>
      <c r="B10" s="48" t="s">
        <v>13</v>
      </c>
      <c r="C10" s="23">
        <v>128052</v>
      </c>
      <c r="D10" s="43">
        <v>12154590</v>
      </c>
      <c r="E10" s="38">
        <v>55825</v>
      </c>
      <c r="F10" s="22">
        <v>3325149</v>
      </c>
      <c r="G10" s="23">
        <v>3603</v>
      </c>
      <c r="H10" s="24">
        <v>926514</v>
      </c>
      <c r="I10" s="21">
        <v>28797</v>
      </c>
      <c r="J10" s="24">
        <v>2548975</v>
      </c>
      <c r="K10" s="23">
        <v>4772</v>
      </c>
      <c r="L10" s="24">
        <v>619477</v>
      </c>
      <c r="M10" s="21">
        <v>863</v>
      </c>
      <c r="N10" s="24">
        <v>414570</v>
      </c>
      <c r="O10" s="23">
        <v>1019</v>
      </c>
      <c r="P10" s="24">
        <v>615953</v>
      </c>
      <c r="Q10" s="21">
        <v>72</v>
      </c>
      <c r="R10" s="24">
        <v>121419</v>
      </c>
      <c r="S10" s="23">
        <v>958</v>
      </c>
      <c r="T10" s="24">
        <v>176614</v>
      </c>
      <c r="U10" s="21">
        <v>0</v>
      </c>
      <c r="V10" s="24">
        <v>0</v>
      </c>
      <c r="W10" s="23">
        <v>7138</v>
      </c>
      <c r="X10" s="24">
        <v>123775</v>
      </c>
      <c r="Y10" s="46">
        <v>252</v>
      </c>
      <c r="Z10" s="24">
        <v>250170</v>
      </c>
      <c r="AA10" s="23">
        <v>24753</v>
      </c>
      <c r="AB10" s="24">
        <v>3031974</v>
      </c>
    </row>
    <row r="11" spans="1:28" s="6" customFormat="1" ht="18.75" customHeight="1" thickBot="1">
      <c r="A11" s="13" t="s">
        <v>66</v>
      </c>
      <c r="B11" s="14" t="s">
        <v>13</v>
      </c>
      <c r="C11" s="17">
        <f aca="true" t="shared" si="0" ref="C11:AB11">SUM(C12:C23)</f>
        <v>113990</v>
      </c>
      <c r="D11" s="42">
        <f t="shared" si="0"/>
        <v>11357761</v>
      </c>
      <c r="E11" s="49">
        <f t="shared" si="0"/>
        <v>64240</v>
      </c>
      <c r="F11" s="16">
        <f t="shared" si="0"/>
        <v>4297828</v>
      </c>
      <c r="G11" s="17">
        <f t="shared" si="0"/>
        <v>4715</v>
      </c>
      <c r="H11" s="18">
        <f t="shared" si="0"/>
        <v>1228507</v>
      </c>
      <c r="I11" s="15">
        <f t="shared" si="0"/>
        <v>18531</v>
      </c>
      <c r="J11" s="18">
        <f t="shared" si="0"/>
        <v>2052722</v>
      </c>
      <c r="K11" s="17">
        <f t="shared" si="0"/>
        <v>3085</v>
      </c>
      <c r="L11" s="18">
        <f t="shared" si="0"/>
        <v>713613</v>
      </c>
      <c r="M11" s="15">
        <f t="shared" si="0"/>
        <v>866</v>
      </c>
      <c r="N11" s="18">
        <f t="shared" si="0"/>
        <v>331092</v>
      </c>
      <c r="O11" s="17">
        <f t="shared" si="0"/>
        <v>1282</v>
      </c>
      <c r="P11" s="18">
        <f t="shared" si="0"/>
        <v>899729</v>
      </c>
      <c r="Q11" s="15">
        <f t="shared" si="0"/>
        <v>58</v>
      </c>
      <c r="R11" s="18">
        <f t="shared" si="0"/>
        <v>75496</v>
      </c>
      <c r="S11" s="17">
        <f t="shared" si="0"/>
        <v>429</v>
      </c>
      <c r="T11" s="18">
        <f t="shared" si="0"/>
        <v>88209</v>
      </c>
      <c r="U11" s="15">
        <f t="shared" si="0"/>
        <v>250</v>
      </c>
      <c r="V11" s="18">
        <f t="shared" si="0"/>
        <v>9225</v>
      </c>
      <c r="W11" s="15">
        <f t="shared" si="0"/>
        <v>14742</v>
      </c>
      <c r="X11" s="18">
        <f t="shared" si="0"/>
        <v>356297</v>
      </c>
      <c r="Y11" s="15">
        <f t="shared" si="0"/>
        <v>271</v>
      </c>
      <c r="Z11" s="18">
        <f t="shared" si="0"/>
        <v>190923</v>
      </c>
      <c r="AA11" s="17">
        <f t="shared" si="0"/>
        <v>5521</v>
      </c>
      <c r="AB11" s="18">
        <f t="shared" si="0"/>
        <v>1114120</v>
      </c>
    </row>
    <row r="12" spans="1:28" s="6" customFormat="1" ht="16.5" customHeight="1" thickTop="1">
      <c r="A12" s="19" t="s">
        <v>66</v>
      </c>
      <c r="B12" s="20" t="s">
        <v>1</v>
      </c>
      <c r="C12" s="23">
        <f aca="true" t="shared" si="1" ref="C12:C23">E12+G12+I12+K12+M12+O12+Q12+S12+U12+W12+Y12+AA12</f>
        <v>4942</v>
      </c>
      <c r="D12" s="43">
        <f aca="true" t="shared" si="2" ref="D12:D23">F12+H12+J12+L12+N12+P12+R12+T12+V12+X12+Z12+AB12</f>
        <v>532835</v>
      </c>
      <c r="E12" s="38">
        <v>4212</v>
      </c>
      <c r="F12" s="22">
        <v>351077</v>
      </c>
      <c r="G12" s="23">
        <v>436</v>
      </c>
      <c r="H12" s="24">
        <v>117922</v>
      </c>
      <c r="I12" s="21">
        <v>0</v>
      </c>
      <c r="J12" s="24">
        <v>0</v>
      </c>
      <c r="K12" s="23">
        <v>4</v>
      </c>
      <c r="L12" s="24">
        <v>261</v>
      </c>
      <c r="M12" s="21">
        <v>50</v>
      </c>
      <c r="N12" s="24">
        <v>18003</v>
      </c>
      <c r="O12" s="23">
        <v>0</v>
      </c>
      <c r="P12" s="24">
        <v>0</v>
      </c>
      <c r="Q12" s="46">
        <v>2</v>
      </c>
      <c r="R12" s="24">
        <v>3314</v>
      </c>
      <c r="S12" s="23">
        <v>73</v>
      </c>
      <c r="T12" s="24">
        <v>13680</v>
      </c>
      <c r="U12" s="21">
        <v>0</v>
      </c>
      <c r="V12" s="24">
        <v>0</v>
      </c>
      <c r="W12" s="23">
        <v>0</v>
      </c>
      <c r="X12" s="24">
        <v>0</v>
      </c>
      <c r="Y12" s="21">
        <v>0</v>
      </c>
      <c r="Z12" s="24">
        <v>0</v>
      </c>
      <c r="AA12" s="23">
        <v>165</v>
      </c>
      <c r="AB12" s="24">
        <v>28578</v>
      </c>
    </row>
    <row r="13" spans="1:28" s="6" customFormat="1" ht="16.5" customHeight="1">
      <c r="A13" s="19"/>
      <c r="B13" s="20" t="s">
        <v>2</v>
      </c>
      <c r="C13" s="23">
        <f t="shared" si="1"/>
        <v>12600</v>
      </c>
      <c r="D13" s="43">
        <f t="shared" si="2"/>
        <v>1380997</v>
      </c>
      <c r="E13" s="38">
        <v>10910</v>
      </c>
      <c r="F13" s="22">
        <v>1097221</v>
      </c>
      <c r="G13" s="23">
        <v>539</v>
      </c>
      <c r="H13" s="24">
        <v>122969</v>
      </c>
      <c r="I13" s="21">
        <v>0</v>
      </c>
      <c r="J13" s="24">
        <v>0</v>
      </c>
      <c r="K13" s="23">
        <v>8</v>
      </c>
      <c r="L13" s="24">
        <v>571</v>
      </c>
      <c r="M13" s="21">
        <v>81</v>
      </c>
      <c r="N13" s="24">
        <v>16414</v>
      </c>
      <c r="O13" s="23">
        <v>0</v>
      </c>
      <c r="P13" s="24">
        <v>0</v>
      </c>
      <c r="Q13" s="46">
        <v>5</v>
      </c>
      <c r="R13" s="24">
        <v>7259</v>
      </c>
      <c r="S13" s="23">
        <v>150</v>
      </c>
      <c r="T13" s="24">
        <v>30006</v>
      </c>
      <c r="U13" s="21">
        <v>0</v>
      </c>
      <c r="V13" s="24">
        <v>0</v>
      </c>
      <c r="W13" s="23">
        <v>0</v>
      </c>
      <c r="X13" s="24">
        <v>0</v>
      </c>
      <c r="Y13" s="21">
        <v>0</v>
      </c>
      <c r="Z13" s="24">
        <v>0</v>
      </c>
      <c r="AA13" s="23">
        <v>907</v>
      </c>
      <c r="AB13" s="24">
        <v>106557</v>
      </c>
    </row>
    <row r="14" spans="1:28" s="6" customFormat="1" ht="16.5" customHeight="1">
      <c r="A14" s="19"/>
      <c r="B14" s="20" t="s">
        <v>3</v>
      </c>
      <c r="C14" s="23">
        <f t="shared" si="1"/>
        <v>4777</v>
      </c>
      <c r="D14" s="43">
        <f t="shared" si="2"/>
        <v>559755</v>
      </c>
      <c r="E14" s="38">
        <v>3621</v>
      </c>
      <c r="F14" s="22">
        <v>308238</v>
      </c>
      <c r="G14" s="23">
        <v>333</v>
      </c>
      <c r="H14" s="24">
        <v>89227</v>
      </c>
      <c r="I14" s="21">
        <v>0</v>
      </c>
      <c r="J14" s="24">
        <v>0</v>
      </c>
      <c r="K14" s="23">
        <v>6</v>
      </c>
      <c r="L14" s="24">
        <v>502</v>
      </c>
      <c r="M14" s="21">
        <v>84</v>
      </c>
      <c r="N14" s="24">
        <v>25194</v>
      </c>
      <c r="O14" s="23">
        <v>0</v>
      </c>
      <c r="P14" s="24">
        <v>0</v>
      </c>
      <c r="Q14" s="21">
        <v>4</v>
      </c>
      <c r="R14" s="24">
        <v>4946</v>
      </c>
      <c r="S14" s="23">
        <v>100</v>
      </c>
      <c r="T14" s="24">
        <v>24860</v>
      </c>
      <c r="U14" s="21">
        <v>0</v>
      </c>
      <c r="V14" s="24">
        <v>0</v>
      </c>
      <c r="W14" s="23">
        <v>0</v>
      </c>
      <c r="X14" s="24">
        <v>0</v>
      </c>
      <c r="Y14" s="21">
        <v>0</v>
      </c>
      <c r="Z14" s="24">
        <v>0</v>
      </c>
      <c r="AA14" s="23">
        <v>629</v>
      </c>
      <c r="AB14" s="24">
        <v>106788</v>
      </c>
    </row>
    <row r="15" spans="1:28" s="6" customFormat="1" ht="16.5" customHeight="1">
      <c r="A15" s="19"/>
      <c r="B15" s="20" t="s">
        <v>4</v>
      </c>
      <c r="C15" s="23">
        <f t="shared" si="1"/>
        <v>3695</v>
      </c>
      <c r="D15" s="43">
        <f t="shared" si="2"/>
        <v>475799</v>
      </c>
      <c r="E15" s="38">
        <v>2683</v>
      </c>
      <c r="F15" s="22">
        <v>227753</v>
      </c>
      <c r="G15" s="23">
        <v>549</v>
      </c>
      <c r="H15" s="24">
        <v>131815</v>
      </c>
      <c r="I15" s="21">
        <v>0</v>
      </c>
      <c r="J15" s="24">
        <v>0</v>
      </c>
      <c r="K15" s="23">
        <v>13</v>
      </c>
      <c r="L15" s="24">
        <v>985</v>
      </c>
      <c r="M15" s="21">
        <v>105</v>
      </c>
      <c r="N15" s="24">
        <v>24364</v>
      </c>
      <c r="O15" s="23">
        <v>3</v>
      </c>
      <c r="P15" s="24">
        <v>2708</v>
      </c>
      <c r="Q15" s="21">
        <v>17</v>
      </c>
      <c r="R15" s="24">
        <v>28621</v>
      </c>
      <c r="S15" s="23">
        <v>34</v>
      </c>
      <c r="T15" s="24">
        <v>7300</v>
      </c>
      <c r="U15" s="21">
        <v>0</v>
      </c>
      <c r="V15" s="24">
        <v>0</v>
      </c>
      <c r="W15" s="23">
        <v>0</v>
      </c>
      <c r="X15" s="24">
        <v>0</v>
      </c>
      <c r="Y15" s="21">
        <v>0</v>
      </c>
      <c r="Z15" s="24">
        <v>0</v>
      </c>
      <c r="AA15" s="23">
        <v>291</v>
      </c>
      <c r="AB15" s="24">
        <v>52253</v>
      </c>
    </row>
    <row r="16" spans="1:28" s="6" customFormat="1" ht="16.5" customHeight="1">
      <c r="A16" s="19"/>
      <c r="B16" s="20" t="s">
        <v>5</v>
      </c>
      <c r="C16" s="23">
        <f t="shared" si="1"/>
        <v>4901</v>
      </c>
      <c r="D16" s="43">
        <f t="shared" si="2"/>
        <v>507888</v>
      </c>
      <c r="E16" s="38">
        <v>3743</v>
      </c>
      <c r="F16" s="22">
        <v>282278</v>
      </c>
      <c r="G16" s="23">
        <v>787</v>
      </c>
      <c r="H16" s="24">
        <v>139315</v>
      </c>
      <c r="I16" s="21">
        <v>0</v>
      </c>
      <c r="J16" s="24">
        <v>0</v>
      </c>
      <c r="K16" s="23">
        <v>10</v>
      </c>
      <c r="L16" s="24">
        <v>1273</v>
      </c>
      <c r="M16" s="21">
        <v>61</v>
      </c>
      <c r="N16" s="24">
        <v>12926</v>
      </c>
      <c r="O16" s="23">
        <v>18</v>
      </c>
      <c r="P16" s="24">
        <v>7113</v>
      </c>
      <c r="Q16" s="21">
        <v>3</v>
      </c>
      <c r="R16" s="24">
        <v>3815</v>
      </c>
      <c r="S16" s="23">
        <v>16</v>
      </c>
      <c r="T16" s="24">
        <v>2757</v>
      </c>
      <c r="U16" s="21">
        <v>0</v>
      </c>
      <c r="V16" s="24">
        <v>0</v>
      </c>
      <c r="W16" s="23">
        <v>0</v>
      </c>
      <c r="X16" s="24">
        <v>0</v>
      </c>
      <c r="Y16" s="21">
        <v>0</v>
      </c>
      <c r="Z16" s="24">
        <v>0</v>
      </c>
      <c r="AA16" s="23">
        <v>263</v>
      </c>
      <c r="AB16" s="24">
        <v>58411</v>
      </c>
    </row>
    <row r="17" spans="1:28" s="6" customFormat="1" ht="16.5" customHeight="1">
      <c r="A17" s="19"/>
      <c r="B17" s="20" t="s">
        <v>6</v>
      </c>
      <c r="C17" s="23">
        <f t="shared" si="1"/>
        <v>2472</v>
      </c>
      <c r="D17" s="43">
        <f t="shared" si="2"/>
        <v>781260</v>
      </c>
      <c r="E17" s="38">
        <v>456</v>
      </c>
      <c r="F17" s="22">
        <v>29715</v>
      </c>
      <c r="G17" s="23">
        <v>101</v>
      </c>
      <c r="H17" s="24">
        <v>20213</v>
      </c>
      <c r="I17" s="21">
        <v>811</v>
      </c>
      <c r="J17" s="24">
        <v>23851</v>
      </c>
      <c r="K17" s="53">
        <v>1</v>
      </c>
      <c r="L17" s="24">
        <v>67</v>
      </c>
      <c r="M17" s="21">
        <v>56</v>
      </c>
      <c r="N17" s="24">
        <v>12723</v>
      </c>
      <c r="O17" s="23">
        <v>603</v>
      </c>
      <c r="P17" s="24">
        <v>461365</v>
      </c>
      <c r="Q17" s="21">
        <v>3</v>
      </c>
      <c r="R17" s="24">
        <v>2468</v>
      </c>
      <c r="S17" s="45">
        <v>22</v>
      </c>
      <c r="T17" s="24">
        <v>2959</v>
      </c>
      <c r="U17" s="21">
        <v>0</v>
      </c>
      <c r="V17" s="24">
        <v>0</v>
      </c>
      <c r="W17" s="23">
        <v>0</v>
      </c>
      <c r="X17" s="24">
        <v>0</v>
      </c>
      <c r="Y17" s="21">
        <v>0</v>
      </c>
      <c r="Z17" s="24">
        <v>0</v>
      </c>
      <c r="AA17" s="23">
        <v>419</v>
      </c>
      <c r="AB17" s="24">
        <v>227899</v>
      </c>
    </row>
    <row r="18" spans="1:28" s="6" customFormat="1" ht="16.5" customHeight="1">
      <c r="A18" s="19"/>
      <c r="B18" s="20" t="s">
        <v>7</v>
      </c>
      <c r="C18" s="23">
        <f t="shared" si="1"/>
        <v>1836</v>
      </c>
      <c r="D18" s="43">
        <f t="shared" si="2"/>
        <v>694507</v>
      </c>
      <c r="E18" s="38">
        <v>27</v>
      </c>
      <c r="F18" s="22">
        <v>1550</v>
      </c>
      <c r="G18" s="23">
        <v>31</v>
      </c>
      <c r="H18" s="24">
        <v>6060</v>
      </c>
      <c r="I18" s="21">
        <v>1036</v>
      </c>
      <c r="J18" s="24">
        <v>171360</v>
      </c>
      <c r="K18" s="45">
        <v>0</v>
      </c>
      <c r="L18" s="24">
        <v>32</v>
      </c>
      <c r="M18" s="21">
        <v>26</v>
      </c>
      <c r="N18" s="24">
        <v>9004</v>
      </c>
      <c r="O18" s="23">
        <v>440</v>
      </c>
      <c r="P18" s="24">
        <v>329046</v>
      </c>
      <c r="Q18" s="21">
        <v>2</v>
      </c>
      <c r="R18" s="24">
        <v>2507</v>
      </c>
      <c r="S18" s="45">
        <v>1</v>
      </c>
      <c r="T18" s="24">
        <v>232</v>
      </c>
      <c r="U18" s="45">
        <v>0</v>
      </c>
      <c r="V18" s="24">
        <v>74</v>
      </c>
      <c r="W18" s="23">
        <v>0</v>
      </c>
      <c r="X18" s="24">
        <v>0</v>
      </c>
      <c r="Y18" s="21">
        <v>0</v>
      </c>
      <c r="Z18" s="24">
        <v>0</v>
      </c>
      <c r="AA18" s="23">
        <v>273</v>
      </c>
      <c r="AB18" s="24">
        <v>174642</v>
      </c>
    </row>
    <row r="19" spans="1:28" s="6" customFormat="1" ht="16.5" customHeight="1">
      <c r="A19" s="19"/>
      <c r="B19" s="20" t="s">
        <v>8</v>
      </c>
      <c r="C19" s="23">
        <f t="shared" si="1"/>
        <v>2653</v>
      </c>
      <c r="D19" s="43">
        <f t="shared" si="2"/>
        <v>726853</v>
      </c>
      <c r="E19" s="38">
        <v>466</v>
      </c>
      <c r="F19" s="22">
        <v>17450</v>
      </c>
      <c r="G19" s="23">
        <v>14</v>
      </c>
      <c r="H19" s="24">
        <v>2463</v>
      </c>
      <c r="I19" s="21">
        <v>694</v>
      </c>
      <c r="J19" s="24">
        <v>352385</v>
      </c>
      <c r="K19" s="23">
        <v>1171</v>
      </c>
      <c r="L19" s="24">
        <v>233406</v>
      </c>
      <c r="M19" s="21">
        <v>35</v>
      </c>
      <c r="N19" s="24">
        <v>13670</v>
      </c>
      <c r="O19" s="23">
        <v>87</v>
      </c>
      <c r="P19" s="24">
        <v>58653</v>
      </c>
      <c r="Q19" s="21">
        <v>6</v>
      </c>
      <c r="R19" s="24">
        <v>6520</v>
      </c>
      <c r="S19" s="45">
        <v>0</v>
      </c>
      <c r="T19" s="24">
        <v>52</v>
      </c>
      <c r="U19" s="46">
        <v>0</v>
      </c>
      <c r="V19" s="58">
        <v>209</v>
      </c>
      <c r="W19" s="23">
        <v>0</v>
      </c>
      <c r="X19" s="24">
        <v>0</v>
      </c>
      <c r="Y19" s="21">
        <v>0</v>
      </c>
      <c r="Z19" s="24">
        <v>0</v>
      </c>
      <c r="AA19" s="23">
        <v>180</v>
      </c>
      <c r="AB19" s="24">
        <v>42045</v>
      </c>
    </row>
    <row r="20" spans="1:28" s="6" customFormat="1" ht="16.5" customHeight="1">
      <c r="A20" s="19"/>
      <c r="B20" s="20" t="s">
        <v>9</v>
      </c>
      <c r="C20" s="23">
        <f t="shared" si="1"/>
        <v>20884</v>
      </c>
      <c r="D20" s="43">
        <f t="shared" si="2"/>
        <v>1641096</v>
      </c>
      <c r="E20" s="38">
        <v>14752</v>
      </c>
      <c r="F20" s="22">
        <v>598880</v>
      </c>
      <c r="G20" s="23">
        <v>228</v>
      </c>
      <c r="H20" s="24">
        <v>48565</v>
      </c>
      <c r="I20" s="21">
        <v>4033</v>
      </c>
      <c r="J20" s="24">
        <v>580905</v>
      </c>
      <c r="K20" s="23">
        <v>1147</v>
      </c>
      <c r="L20" s="24">
        <v>294589</v>
      </c>
      <c r="M20" s="21">
        <v>37</v>
      </c>
      <c r="N20" s="24">
        <v>7746</v>
      </c>
      <c r="O20" s="23">
        <v>86</v>
      </c>
      <c r="P20" s="24">
        <v>26800</v>
      </c>
      <c r="Q20" s="21">
        <v>5</v>
      </c>
      <c r="R20" s="24">
        <v>5531</v>
      </c>
      <c r="S20" s="45">
        <v>4</v>
      </c>
      <c r="T20" s="24">
        <v>795</v>
      </c>
      <c r="U20" s="21">
        <v>250</v>
      </c>
      <c r="V20" s="24">
        <v>8941</v>
      </c>
      <c r="W20" s="23">
        <v>0</v>
      </c>
      <c r="X20" s="24">
        <v>0</v>
      </c>
      <c r="Y20" s="46">
        <v>0</v>
      </c>
      <c r="Z20" s="24">
        <v>4</v>
      </c>
      <c r="AA20" s="23">
        <v>342</v>
      </c>
      <c r="AB20" s="24">
        <v>68340</v>
      </c>
    </row>
    <row r="21" spans="1:28" s="6" customFormat="1" ht="16.5" customHeight="1">
      <c r="A21" s="19"/>
      <c r="B21" s="20" t="s">
        <v>10</v>
      </c>
      <c r="C21" s="23">
        <f t="shared" si="1"/>
        <v>36730</v>
      </c>
      <c r="D21" s="43">
        <f t="shared" si="2"/>
        <v>2094785</v>
      </c>
      <c r="E21" s="38">
        <v>12309</v>
      </c>
      <c r="F21" s="22">
        <v>597650</v>
      </c>
      <c r="G21" s="23">
        <v>597</v>
      </c>
      <c r="H21" s="24">
        <v>143326</v>
      </c>
      <c r="I21" s="21">
        <v>9361</v>
      </c>
      <c r="J21" s="24">
        <v>767447</v>
      </c>
      <c r="K21" s="23">
        <v>639</v>
      </c>
      <c r="L21" s="24">
        <v>160516</v>
      </c>
      <c r="M21" s="21">
        <v>81</v>
      </c>
      <c r="N21" s="24">
        <v>24521</v>
      </c>
      <c r="O21" s="23">
        <v>44</v>
      </c>
      <c r="P21" s="24">
        <v>13731</v>
      </c>
      <c r="Q21" s="21">
        <v>5</v>
      </c>
      <c r="R21" s="24">
        <v>5838</v>
      </c>
      <c r="S21" s="23">
        <v>13</v>
      </c>
      <c r="T21" s="24">
        <v>2068</v>
      </c>
      <c r="U21" s="46">
        <v>0</v>
      </c>
      <c r="V21" s="24">
        <v>1</v>
      </c>
      <c r="W21" s="23">
        <v>13042</v>
      </c>
      <c r="X21" s="24">
        <v>318820</v>
      </c>
      <c r="Y21" s="46">
        <v>36</v>
      </c>
      <c r="Z21" s="24">
        <v>23525</v>
      </c>
      <c r="AA21" s="23">
        <v>603</v>
      </c>
      <c r="AB21" s="24">
        <v>37342</v>
      </c>
    </row>
    <row r="22" spans="1:28" s="6" customFormat="1" ht="16.5" customHeight="1">
      <c r="A22" s="19"/>
      <c r="B22" s="20" t="s">
        <v>11</v>
      </c>
      <c r="C22" s="23">
        <f t="shared" si="1"/>
        <v>12434</v>
      </c>
      <c r="D22" s="43">
        <f t="shared" si="2"/>
        <v>1149024</v>
      </c>
      <c r="E22" s="38">
        <v>6224</v>
      </c>
      <c r="F22" s="22">
        <v>455576</v>
      </c>
      <c r="G22" s="23">
        <v>388</v>
      </c>
      <c r="H22" s="24">
        <v>125356</v>
      </c>
      <c r="I22" s="21">
        <v>2596</v>
      </c>
      <c r="J22" s="24">
        <v>156774</v>
      </c>
      <c r="K22" s="23">
        <v>84</v>
      </c>
      <c r="L22" s="24">
        <v>21296</v>
      </c>
      <c r="M22" s="21">
        <v>88</v>
      </c>
      <c r="N22" s="24">
        <v>55163</v>
      </c>
      <c r="O22" s="23">
        <v>1</v>
      </c>
      <c r="P22" s="24">
        <v>313</v>
      </c>
      <c r="Q22" s="21">
        <v>3</v>
      </c>
      <c r="R22" s="24">
        <v>1737</v>
      </c>
      <c r="S22" s="23">
        <v>4</v>
      </c>
      <c r="T22" s="24">
        <v>782</v>
      </c>
      <c r="U22" s="21">
        <v>0</v>
      </c>
      <c r="V22" s="24">
        <v>0</v>
      </c>
      <c r="W22" s="45">
        <v>1700</v>
      </c>
      <c r="X22" s="24">
        <v>37477</v>
      </c>
      <c r="Y22" s="21">
        <v>235</v>
      </c>
      <c r="Z22" s="24">
        <v>167389</v>
      </c>
      <c r="AA22" s="23">
        <v>1111</v>
      </c>
      <c r="AB22" s="24">
        <v>127161</v>
      </c>
    </row>
    <row r="23" spans="1:28" s="6" customFormat="1" ht="16.5" customHeight="1">
      <c r="A23" s="25"/>
      <c r="B23" s="26" t="s">
        <v>12</v>
      </c>
      <c r="C23" s="31">
        <f t="shared" si="1"/>
        <v>6066</v>
      </c>
      <c r="D23" s="44">
        <f t="shared" si="2"/>
        <v>812962</v>
      </c>
      <c r="E23" s="39">
        <v>4837</v>
      </c>
      <c r="F23" s="34">
        <v>330440</v>
      </c>
      <c r="G23" s="31">
        <v>712</v>
      </c>
      <c r="H23" s="32">
        <v>281276</v>
      </c>
      <c r="I23" s="33">
        <v>0</v>
      </c>
      <c r="J23" s="32">
        <v>0</v>
      </c>
      <c r="K23" s="31">
        <v>2</v>
      </c>
      <c r="L23" s="32">
        <v>115</v>
      </c>
      <c r="M23" s="33">
        <v>162</v>
      </c>
      <c r="N23" s="32">
        <v>111364</v>
      </c>
      <c r="O23" s="31">
        <v>0</v>
      </c>
      <c r="P23" s="32">
        <v>0</v>
      </c>
      <c r="Q23" s="33">
        <v>3</v>
      </c>
      <c r="R23" s="32">
        <v>2940</v>
      </c>
      <c r="S23" s="31">
        <v>12</v>
      </c>
      <c r="T23" s="32">
        <v>2718</v>
      </c>
      <c r="U23" s="33">
        <v>0</v>
      </c>
      <c r="V23" s="32">
        <v>0</v>
      </c>
      <c r="W23" s="31">
        <v>0</v>
      </c>
      <c r="X23" s="32">
        <v>0</v>
      </c>
      <c r="Y23" s="55">
        <v>0</v>
      </c>
      <c r="Z23" s="32">
        <v>5</v>
      </c>
      <c r="AA23" s="31">
        <v>338</v>
      </c>
      <c r="AB23" s="32">
        <v>84104</v>
      </c>
    </row>
    <row r="24" s="6" customFormat="1" ht="16.5" customHeight="1">
      <c r="A24" s="6" t="s">
        <v>19</v>
      </c>
    </row>
    <row r="25" s="6" customFormat="1" ht="16.5" customHeight="1">
      <c r="A25" s="6" t="s">
        <v>20</v>
      </c>
    </row>
    <row r="26" s="1" customFormat="1" ht="15" customHeight="1"/>
    <row r="27" s="1" customFormat="1" ht="15" customHeight="1"/>
    <row r="28" ht="13.5">
      <c r="E28" s="57"/>
    </row>
  </sheetData>
  <sheetProtection/>
  <mergeCells count="14">
    <mergeCell ref="A4:B5"/>
    <mergeCell ref="C4:D4"/>
    <mergeCell ref="E4:F4"/>
    <mergeCell ref="G4:H4"/>
    <mergeCell ref="I4:J4"/>
    <mergeCell ref="K4:L4"/>
    <mergeCell ref="M4:N4"/>
    <mergeCell ref="O4:P4"/>
    <mergeCell ref="Y4:Z4"/>
    <mergeCell ref="AA4:AB4"/>
    <mergeCell ref="Q4:R4"/>
    <mergeCell ref="S4:T4"/>
    <mergeCell ref="U4:V4"/>
    <mergeCell ref="W4:X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27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7.59765625" style="56" customWidth="1"/>
    <col min="2" max="2" width="5.5" style="56" customWidth="1"/>
    <col min="3" max="3" width="10.5" style="56" bestFit="1" customWidth="1"/>
    <col min="4" max="4" width="13.8984375" style="56" bestFit="1" customWidth="1"/>
    <col min="5" max="5" width="8.59765625" style="56" customWidth="1"/>
    <col min="6" max="6" width="11.8984375" style="56" customWidth="1"/>
    <col min="7" max="7" width="8.59765625" style="56" customWidth="1"/>
    <col min="8" max="8" width="11.8984375" style="56" customWidth="1"/>
    <col min="9" max="9" width="8.59765625" style="56" customWidth="1"/>
    <col min="10" max="10" width="11.8984375" style="56" customWidth="1"/>
    <col min="11" max="11" width="8.59765625" style="56" customWidth="1"/>
    <col min="12" max="12" width="11.8984375" style="56" customWidth="1"/>
    <col min="13" max="13" width="8.59765625" style="56" customWidth="1"/>
    <col min="14" max="14" width="11.8984375" style="56" customWidth="1"/>
    <col min="15" max="15" width="8.59765625" style="56" customWidth="1"/>
    <col min="16" max="16" width="11.8984375" style="56" customWidth="1"/>
    <col min="17" max="17" width="8.59765625" style="56" customWidth="1"/>
    <col min="18" max="18" width="11.8984375" style="56" customWidth="1"/>
    <col min="19" max="19" width="8.59765625" style="56" customWidth="1"/>
    <col min="20" max="20" width="11.8984375" style="56" customWidth="1"/>
    <col min="21" max="21" width="8.59765625" style="56" customWidth="1"/>
    <col min="22" max="22" width="11.8984375" style="56" customWidth="1"/>
    <col min="23" max="23" width="8.59765625" style="56" customWidth="1"/>
    <col min="24" max="24" width="11.8984375" style="56" customWidth="1"/>
    <col min="25" max="25" width="8.59765625" style="56" customWidth="1"/>
    <col min="26" max="26" width="11.8984375" style="56" customWidth="1"/>
    <col min="27" max="27" width="8.59765625" style="56" customWidth="1"/>
    <col min="28" max="28" width="11.8984375" style="56" customWidth="1"/>
    <col min="29" max="16384" width="9" style="56" customWidth="1"/>
  </cols>
  <sheetData>
    <row r="1" ht="16.5" customHeight="1">
      <c r="A1" s="5" t="s">
        <v>83</v>
      </c>
    </row>
    <row r="2" ht="13.5" customHeight="1"/>
    <row r="3" s="6" customFormat="1" ht="16.5" customHeight="1">
      <c r="A3" s="6" t="s">
        <v>31</v>
      </c>
    </row>
    <row r="4" spans="1:28" s="6" customFormat="1" ht="18.75" customHeight="1">
      <c r="A4" s="120" t="s">
        <v>18</v>
      </c>
      <c r="B4" s="121"/>
      <c r="C4" s="124" t="s">
        <v>0</v>
      </c>
      <c r="D4" s="125"/>
      <c r="E4" s="126" t="s">
        <v>32</v>
      </c>
      <c r="F4" s="113"/>
      <c r="G4" s="112" t="s">
        <v>33</v>
      </c>
      <c r="H4" s="113"/>
      <c r="I4" s="112" t="s">
        <v>34</v>
      </c>
      <c r="J4" s="113"/>
      <c r="K4" s="112" t="s">
        <v>35</v>
      </c>
      <c r="L4" s="113"/>
      <c r="M4" s="112" t="s">
        <v>24</v>
      </c>
      <c r="N4" s="113"/>
      <c r="O4" s="112" t="s">
        <v>36</v>
      </c>
      <c r="P4" s="113"/>
      <c r="Q4" s="112" t="s">
        <v>25</v>
      </c>
      <c r="R4" s="113"/>
      <c r="S4" s="112" t="s">
        <v>37</v>
      </c>
      <c r="T4" s="113"/>
      <c r="U4" s="112" t="s">
        <v>38</v>
      </c>
      <c r="V4" s="113"/>
      <c r="W4" s="112" t="s">
        <v>39</v>
      </c>
      <c r="X4" s="113"/>
      <c r="Y4" s="112" t="s">
        <v>40</v>
      </c>
      <c r="Z4" s="113"/>
      <c r="AA4" s="112" t="s">
        <v>30</v>
      </c>
      <c r="AB4" s="113"/>
    </row>
    <row r="5" spans="1:28" s="6" customFormat="1" ht="18.75" customHeight="1">
      <c r="A5" s="122"/>
      <c r="B5" s="123"/>
      <c r="C5" s="7" t="s">
        <v>16</v>
      </c>
      <c r="D5" s="40" t="s">
        <v>17</v>
      </c>
      <c r="E5" s="35" t="s">
        <v>16</v>
      </c>
      <c r="F5" s="10" t="s">
        <v>17</v>
      </c>
      <c r="G5" s="7" t="s">
        <v>16</v>
      </c>
      <c r="H5" s="8" t="s">
        <v>17</v>
      </c>
      <c r="I5" s="9" t="s">
        <v>16</v>
      </c>
      <c r="J5" s="10" t="s">
        <v>17</v>
      </c>
      <c r="K5" s="7" t="s">
        <v>16</v>
      </c>
      <c r="L5" s="8" t="s">
        <v>17</v>
      </c>
      <c r="M5" s="9" t="s">
        <v>16</v>
      </c>
      <c r="N5" s="10" t="s">
        <v>17</v>
      </c>
      <c r="O5" s="7" t="s">
        <v>16</v>
      </c>
      <c r="P5" s="8" t="s">
        <v>17</v>
      </c>
      <c r="Q5" s="9" t="s">
        <v>16</v>
      </c>
      <c r="R5" s="8" t="s">
        <v>17</v>
      </c>
      <c r="S5" s="7" t="s">
        <v>16</v>
      </c>
      <c r="T5" s="8" t="s">
        <v>17</v>
      </c>
      <c r="U5" s="9" t="s">
        <v>16</v>
      </c>
      <c r="V5" s="10" t="s">
        <v>17</v>
      </c>
      <c r="W5" s="7" t="s">
        <v>16</v>
      </c>
      <c r="X5" s="8" t="s">
        <v>17</v>
      </c>
      <c r="Y5" s="9" t="s">
        <v>16</v>
      </c>
      <c r="Z5" s="8" t="s">
        <v>17</v>
      </c>
      <c r="AA5" s="7" t="s">
        <v>16</v>
      </c>
      <c r="AB5" s="8" t="s">
        <v>17</v>
      </c>
    </row>
    <row r="6" spans="1:28" s="6" customFormat="1" ht="18.75" customHeight="1">
      <c r="A6" s="11" t="s">
        <v>71</v>
      </c>
      <c r="B6" s="12" t="s">
        <v>13</v>
      </c>
      <c r="C6" s="27">
        <v>114577</v>
      </c>
      <c r="D6" s="41">
        <v>11911835</v>
      </c>
      <c r="E6" s="36">
        <v>53813</v>
      </c>
      <c r="F6" s="30">
        <v>3896698</v>
      </c>
      <c r="G6" s="27">
        <v>3869</v>
      </c>
      <c r="H6" s="28">
        <v>966494</v>
      </c>
      <c r="I6" s="29">
        <v>28526</v>
      </c>
      <c r="J6" s="28">
        <v>1985504</v>
      </c>
      <c r="K6" s="27">
        <v>3602</v>
      </c>
      <c r="L6" s="28">
        <v>587516</v>
      </c>
      <c r="M6" s="29">
        <v>1345</v>
      </c>
      <c r="N6" s="28">
        <v>705161</v>
      </c>
      <c r="O6" s="27">
        <v>1579</v>
      </c>
      <c r="P6" s="28">
        <v>856075</v>
      </c>
      <c r="Q6" s="29">
        <v>118</v>
      </c>
      <c r="R6" s="28">
        <v>212500</v>
      </c>
      <c r="S6" s="27">
        <v>741</v>
      </c>
      <c r="T6" s="28">
        <v>140828</v>
      </c>
      <c r="U6" s="29">
        <v>3364</v>
      </c>
      <c r="V6" s="28">
        <v>78773</v>
      </c>
      <c r="W6" s="27">
        <v>2280</v>
      </c>
      <c r="X6" s="28">
        <v>43754</v>
      </c>
      <c r="Y6" s="29">
        <v>251</v>
      </c>
      <c r="Z6" s="28">
        <v>257030</v>
      </c>
      <c r="AA6" s="27">
        <v>15089</v>
      </c>
      <c r="AB6" s="28">
        <v>2181502</v>
      </c>
    </row>
    <row r="7" spans="1:28" s="6" customFormat="1" ht="18.75" customHeight="1">
      <c r="A7" s="19" t="s">
        <v>70</v>
      </c>
      <c r="B7" s="48" t="s">
        <v>13</v>
      </c>
      <c r="C7" s="23">
        <v>137948</v>
      </c>
      <c r="D7" s="43">
        <v>14562957</v>
      </c>
      <c r="E7" s="38">
        <v>55786</v>
      </c>
      <c r="F7" s="22">
        <v>4489157</v>
      </c>
      <c r="G7" s="23">
        <v>3310</v>
      </c>
      <c r="H7" s="24">
        <v>992926</v>
      </c>
      <c r="I7" s="21">
        <v>27899</v>
      </c>
      <c r="J7" s="24">
        <v>2081572</v>
      </c>
      <c r="K7" s="23">
        <v>3869</v>
      </c>
      <c r="L7" s="24">
        <v>893617</v>
      </c>
      <c r="M7" s="21">
        <v>1490</v>
      </c>
      <c r="N7" s="24">
        <v>754333</v>
      </c>
      <c r="O7" s="23">
        <v>1487</v>
      </c>
      <c r="P7" s="24">
        <v>916744</v>
      </c>
      <c r="Q7" s="21">
        <v>108</v>
      </c>
      <c r="R7" s="24">
        <v>195023</v>
      </c>
      <c r="S7" s="23">
        <v>725</v>
      </c>
      <c r="T7" s="24">
        <v>89569</v>
      </c>
      <c r="U7" s="21">
        <v>1891</v>
      </c>
      <c r="V7" s="24">
        <v>144705</v>
      </c>
      <c r="W7" s="23">
        <v>16112</v>
      </c>
      <c r="X7" s="24">
        <v>382795</v>
      </c>
      <c r="Y7" s="46">
        <v>360</v>
      </c>
      <c r="Z7" s="24">
        <v>326991</v>
      </c>
      <c r="AA7" s="23">
        <v>24912</v>
      </c>
      <c r="AB7" s="24">
        <v>3295525</v>
      </c>
    </row>
    <row r="8" spans="1:28" s="6" customFormat="1" ht="18.75" customHeight="1">
      <c r="A8" s="19" t="s">
        <v>69</v>
      </c>
      <c r="B8" s="48" t="s">
        <v>13</v>
      </c>
      <c r="C8" s="23">
        <v>107569</v>
      </c>
      <c r="D8" s="43">
        <v>12723109</v>
      </c>
      <c r="E8" s="38">
        <v>50408</v>
      </c>
      <c r="F8" s="22">
        <v>4285036</v>
      </c>
      <c r="G8" s="23">
        <v>3511</v>
      </c>
      <c r="H8" s="24">
        <v>1040834</v>
      </c>
      <c r="I8" s="21">
        <v>34098</v>
      </c>
      <c r="J8" s="24">
        <v>2522079</v>
      </c>
      <c r="K8" s="23">
        <v>4992</v>
      </c>
      <c r="L8" s="24">
        <v>660467</v>
      </c>
      <c r="M8" s="21">
        <v>1176</v>
      </c>
      <c r="N8" s="24">
        <v>718806</v>
      </c>
      <c r="O8" s="23">
        <v>1422</v>
      </c>
      <c r="P8" s="24">
        <v>853981</v>
      </c>
      <c r="Q8" s="21">
        <v>103</v>
      </c>
      <c r="R8" s="24">
        <v>171971</v>
      </c>
      <c r="S8" s="23">
        <v>482</v>
      </c>
      <c r="T8" s="24">
        <v>114497</v>
      </c>
      <c r="U8" s="21">
        <v>794</v>
      </c>
      <c r="V8" s="24">
        <v>72318</v>
      </c>
      <c r="W8" s="23">
        <v>52</v>
      </c>
      <c r="X8" s="24">
        <v>2180</v>
      </c>
      <c r="Y8" s="46">
        <v>250</v>
      </c>
      <c r="Z8" s="24">
        <v>366073</v>
      </c>
      <c r="AA8" s="23">
        <v>10282</v>
      </c>
      <c r="AB8" s="24">
        <v>1914866</v>
      </c>
    </row>
    <row r="9" spans="1:28" s="6" customFormat="1" ht="18.75" customHeight="1">
      <c r="A9" s="19" t="s">
        <v>68</v>
      </c>
      <c r="B9" s="48" t="s">
        <v>13</v>
      </c>
      <c r="C9" s="23">
        <v>125679</v>
      </c>
      <c r="D9" s="43">
        <v>15281221</v>
      </c>
      <c r="E9" s="38">
        <v>66253</v>
      </c>
      <c r="F9" s="22">
        <v>6179462</v>
      </c>
      <c r="G9" s="23">
        <v>3669</v>
      </c>
      <c r="H9" s="24">
        <v>1200338</v>
      </c>
      <c r="I9" s="21">
        <v>30698</v>
      </c>
      <c r="J9" s="24">
        <v>2575115</v>
      </c>
      <c r="K9" s="23">
        <v>1852</v>
      </c>
      <c r="L9" s="24">
        <v>257255</v>
      </c>
      <c r="M9" s="21">
        <v>972</v>
      </c>
      <c r="N9" s="24">
        <v>586883</v>
      </c>
      <c r="O9" s="23">
        <v>1462</v>
      </c>
      <c r="P9" s="24">
        <v>895714</v>
      </c>
      <c r="Q9" s="21">
        <v>32</v>
      </c>
      <c r="R9" s="24">
        <v>54093</v>
      </c>
      <c r="S9" s="23">
        <v>233</v>
      </c>
      <c r="T9" s="24">
        <v>70889</v>
      </c>
      <c r="U9" s="21">
        <v>19</v>
      </c>
      <c r="V9" s="24">
        <v>2464</v>
      </c>
      <c r="W9" s="23">
        <v>681</v>
      </c>
      <c r="X9" s="24">
        <v>20030</v>
      </c>
      <c r="Y9" s="46">
        <v>102</v>
      </c>
      <c r="Z9" s="24">
        <v>191992</v>
      </c>
      <c r="AA9" s="23">
        <v>19706</v>
      </c>
      <c r="AB9" s="24">
        <v>3246986</v>
      </c>
    </row>
    <row r="10" spans="1:28" s="6" customFormat="1" ht="18.75" customHeight="1" thickBot="1">
      <c r="A10" s="13" t="s">
        <v>67</v>
      </c>
      <c r="B10" s="14" t="s">
        <v>13</v>
      </c>
      <c r="C10" s="17">
        <f aca="true" t="shared" si="0" ref="C10:AB10">SUM(C11:C22)</f>
        <v>128052</v>
      </c>
      <c r="D10" s="42">
        <f t="shared" si="0"/>
        <v>12154590</v>
      </c>
      <c r="E10" s="49">
        <f t="shared" si="0"/>
        <v>55825</v>
      </c>
      <c r="F10" s="16">
        <f t="shared" si="0"/>
        <v>3325149</v>
      </c>
      <c r="G10" s="17">
        <f t="shared" si="0"/>
        <v>3603</v>
      </c>
      <c r="H10" s="18">
        <f t="shared" si="0"/>
        <v>926514</v>
      </c>
      <c r="I10" s="15">
        <f t="shared" si="0"/>
        <v>28797</v>
      </c>
      <c r="J10" s="18">
        <f t="shared" si="0"/>
        <v>2548975</v>
      </c>
      <c r="K10" s="17">
        <f t="shared" si="0"/>
        <v>4772</v>
      </c>
      <c r="L10" s="18">
        <f t="shared" si="0"/>
        <v>619477</v>
      </c>
      <c r="M10" s="15">
        <f t="shared" si="0"/>
        <v>863</v>
      </c>
      <c r="N10" s="18">
        <f t="shared" si="0"/>
        <v>414570</v>
      </c>
      <c r="O10" s="17">
        <f t="shared" si="0"/>
        <v>1019</v>
      </c>
      <c r="P10" s="18">
        <f t="shared" si="0"/>
        <v>615953</v>
      </c>
      <c r="Q10" s="15">
        <f t="shared" si="0"/>
        <v>72</v>
      </c>
      <c r="R10" s="18">
        <f t="shared" si="0"/>
        <v>121419</v>
      </c>
      <c r="S10" s="17">
        <f t="shared" si="0"/>
        <v>958</v>
      </c>
      <c r="T10" s="18">
        <f t="shared" si="0"/>
        <v>176614</v>
      </c>
      <c r="U10" s="15">
        <f t="shared" si="0"/>
        <v>0</v>
      </c>
      <c r="V10" s="18">
        <f t="shared" si="0"/>
        <v>0</v>
      </c>
      <c r="W10" s="47">
        <f t="shared" si="0"/>
        <v>7138</v>
      </c>
      <c r="X10" s="18">
        <f t="shared" si="0"/>
        <v>123775</v>
      </c>
      <c r="Y10" s="47">
        <f t="shared" si="0"/>
        <v>252</v>
      </c>
      <c r="Z10" s="18">
        <f t="shared" si="0"/>
        <v>250170</v>
      </c>
      <c r="AA10" s="17">
        <f t="shared" si="0"/>
        <v>24753</v>
      </c>
      <c r="AB10" s="18">
        <f t="shared" si="0"/>
        <v>3031974</v>
      </c>
    </row>
    <row r="11" spans="1:28" s="6" customFormat="1" ht="16.5" customHeight="1" thickTop="1">
      <c r="A11" s="19" t="s">
        <v>67</v>
      </c>
      <c r="B11" s="20" t="s">
        <v>1</v>
      </c>
      <c r="C11" s="23">
        <f aca="true" t="shared" si="1" ref="C11:C22">E11+G11+I11+K11+M11+O11+Q11+S11+U11+W11+Y11+AA11</f>
        <v>5233</v>
      </c>
      <c r="D11" s="43">
        <f aca="true" t="shared" si="2" ref="D11:D22">F11+H11+J11+L11+N11+P11+R11+T11+V11+X11+Z11+AB11</f>
        <v>647196</v>
      </c>
      <c r="E11" s="38">
        <v>3829</v>
      </c>
      <c r="F11" s="22">
        <v>331661</v>
      </c>
      <c r="G11" s="23">
        <v>428</v>
      </c>
      <c r="H11" s="24">
        <v>158552</v>
      </c>
      <c r="I11" s="21">
        <v>0</v>
      </c>
      <c r="J11" s="24">
        <v>0</v>
      </c>
      <c r="K11" s="23">
        <v>18</v>
      </c>
      <c r="L11" s="24">
        <v>1684</v>
      </c>
      <c r="M11" s="21">
        <v>54</v>
      </c>
      <c r="N11" s="24">
        <v>23202</v>
      </c>
      <c r="O11" s="23">
        <v>0</v>
      </c>
      <c r="P11" s="24">
        <v>0</v>
      </c>
      <c r="Q11" s="46">
        <v>1</v>
      </c>
      <c r="R11" s="24">
        <v>1694</v>
      </c>
      <c r="S11" s="23">
        <v>110</v>
      </c>
      <c r="T11" s="24">
        <v>23122</v>
      </c>
      <c r="U11" s="21">
        <v>0</v>
      </c>
      <c r="V11" s="24">
        <v>0</v>
      </c>
      <c r="W11" s="23">
        <v>0</v>
      </c>
      <c r="X11" s="24">
        <v>0</v>
      </c>
      <c r="Y11" s="21">
        <v>0</v>
      </c>
      <c r="Z11" s="24">
        <v>0</v>
      </c>
      <c r="AA11" s="23">
        <v>793</v>
      </c>
      <c r="AB11" s="24">
        <v>107281</v>
      </c>
    </row>
    <row r="12" spans="1:28" s="6" customFormat="1" ht="16.5" customHeight="1">
      <c r="A12" s="19"/>
      <c r="B12" s="20" t="s">
        <v>2</v>
      </c>
      <c r="C12" s="23">
        <f t="shared" si="1"/>
        <v>16389</v>
      </c>
      <c r="D12" s="43">
        <f t="shared" si="2"/>
        <v>1762038</v>
      </c>
      <c r="E12" s="38">
        <v>5181</v>
      </c>
      <c r="F12" s="22">
        <v>430733</v>
      </c>
      <c r="G12" s="23">
        <v>224</v>
      </c>
      <c r="H12" s="24">
        <v>57713</v>
      </c>
      <c r="I12" s="21">
        <v>0</v>
      </c>
      <c r="J12" s="24">
        <v>0</v>
      </c>
      <c r="K12" s="23">
        <v>14</v>
      </c>
      <c r="L12" s="24">
        <v>1084</v>
      </c>
      <c r="M12" s="21">
        <v>38</v>
      </c>
      <c r="N12" s="24">
        <v>11823</v>
      </c>
      <c r="O12" s="23">
        <v>0</v>
      </c>
      <c r="P12" s="24">
        <v>0</v>
      </c>
      <c r="Q12" s="46">
        <v>1</v>
      </c>
      <c r="R12" s="24">
        <v>3326</v>
      </c>
      <c r="S12" s="23">
        <v>409</v>
      </c>
      <c r="T12" s="24">
        <v>75360</v>
      </c>
      <c r="U12" s="21">
        <v>0</v>
      </c>
      <c r="V12" s="24">
        <v>0</v>
      </c>
      <c r="W12" s="23">
        <v>0</v>
      </c>
      <c r="X12" s="24">
        <v>0</v>
      </c>
      <c r="Y12" s="21">
        <v>0</v>
      </c>
      <c r="Z12" s="24">
        <v>0</v>
      </c>
      <c r="AA12" s="23">
        <v>10522</v>
      </c>
      <c r="AB12" s="24">
        <v>1181999</v>
      </c>
    </row>
    <row r="13" spans="1:28" s="6" customFormat="1" ht="16.5" customHeight="1">
      <c r="A13" s="19"/>
      <c r="B13" s="20" t="s">
        <v>3</v>
      </c>
      <c r="C13" s="23">
        <f t="shared" si="1"/>
        <v>10509</v>
      </c>
      <c r="D13" s="43">
        <f t="shared" si="2"/>
        <v>1281982</v>
      </c>
      <c r="E13" s="38">
        <v>3753</v>
      </c>
      <c r="F13" s="22">
        <v>418991</v>
      </c>
      <c r="G13" s="23">
        <v>168</v>
      </c>
      <c r="H13" s="24">
        <v>33947</v>
      </c>
      <c r="I13" s="21">
        <v>0</v>
      </c>
      <c r="J13" s="24">
        <v>0</v>
      </c>
      <c r="K13" s="23">
        <v>20</v>
      </c>
      <c r="L13" s="24">
        <v>1340</v>
      </c>
      <c r="M13" s="21">
        <v>44</v>
      </c>
      <c r="N13" s="24">
        <v>15173</v>
      </c>
      <c r="O13" s="23">
        <v>0</v>
      </c>
      <c r="P13" s="24">
        <v>0</v>
      </c>
      <c r="Q13" s="21">
        <v>10</v>
      </c>
      <c r="R13" s="24">
        <v>15751</v>
      </c>
      <c r="S13" s="23">
        <v>229</v>
      </c>
      <c r="T13" s="24">
        <v>42640</v>
      </c>
      <c r="U13" s="21">
        <v>0</v>
      </c>
      <c r="V13" s="24">
        <v>0</v>
      </c>
      <c r="W13" s="23">
        <v>0</v>
      </c>
      <c r="X13" s="24">
        <v>0</v>
      </c>
      <c r="Y13" s="21">
        <v>0</v>
      </c>
      <c r="Z13" s="24">
        <v>0</v>
      </c>
      <c r="AA13" s="23">
        <v>6285</v>
      </c>
      <c r="AB13" s="24">
        <v>754140</v>
      </c>
    </row>
    <row r="14" spans="1:28" s="6" customFormat="1" ht="16.5" customHeight="1">
      <c r="A14" s="19"/>
      <c r="B14" s="20" t="s">
        <v>4</v>
      </c>
      <c r="C14" s="23">
        <f t="shared" si="1"/>
        <v>2735</v>
      </c>
      <c r="D14" s="43">
        <f t="shared" si="2"/>
        <v>408871</v>
      </c>
      <c r="E14" s="38">
        <v>1476</v>
      </c>
      <c r="F14" s="22">
        <v>126457</v>
      </c>
      <c r="G14" s="23">
        <v>432</v>
      </c>
      <c r="H14" s="24">
        <v>85014</v>
      </c>
      <c r="I14" s="21">
        <v>0</v>
      </c>
      <c r="J14" s="24">
        <v>0</v>
      </c>
      <c r="K14" s="23">
        <v>30</v>
      </c>
      <c r="L14" s="24">
        <v>2036</v>
      </c>
      <c r="M14" s="21">
        <v>103</v>
      </c>
      <c r="N14" s="24">
        <v>33863</v>
      </c>
      <c r="O14" s="23">
        <v>5</v>
      </c>
      <c r="P14" s="24">
        <v>2814</v>
      </c>
      <c r="Q14" s="21">
        <v>18</v>
      </c>
      <c r="R14" s="24">
        <v>36744</v>
      </c>
      <c r="S14" s="23">
        <v>127</v>
      </c>
      <c r="T14" s="24">
        <v>21804</v>
      </c>
      <c r="U14" s="21">
        <v>0</v>
      </c>
      <c r="V14" s="24">
        <v>0</v>
      </c>
      <c r="W14" s="23">
        <v>0</v>
      </c>
      <c r="X14" s="24">
        <v>0</v>
      </c>
      <c r="Y14" s="21">
        <v>0</v>
      </c>
      <c r="Z14" s="24">
        <v>0</v>
      </c>
      <c r="AA14" s="23">
        <v>544</v>
      </c>
      <c r="AB14" s="24">
        <v>100139</v>
      </c>
    </row>
    <row r="15" spans="1:28" s="6" customFormat="1" ht="16.5" customHeight="1">
      <c r="A15" s="19"/>
      <c r="B15" s="20" t="s">
        <v>5</v>
      </c>
      <c r="C15" s="23">
        <f t="shared" si="1"/>
        <v>3324</v>
      </c>
      <c r="D15" s="43">
        <f t="shared" si="2"/>
        <v>402181</v>
      </c>
      <c r="E15" s="38">
        <v>2195</v>
      </c>
      <c r="F15" s="22">
        <v>150395</v>
      </c>
      <c r="G15" s="23">
        <v>410</v>
      </c>
      <c r="H15" s="24">
        <v>76967</v>
      </c>
      <c r="I15" s="21">
        <v>0</v>
      </c>
      <c r="J15" s="24">
        <v>0</v>
      </c>
      <c r="K15" s="23">
        <v>20</v>
      </c>
      <c r="L15" s="24">
        <v>1320</v>
      </c>
      <c r="M15" s="21">
        <v>91</v>
      </c>
      <c r="N15" s="24">
        <v>22476</v>
      </c>
      <c r="O15" s="23">
        <v>66</v>
      </c>
      <c r="P15" s="24">
        <v>19610</v>
      </c>
      <c r="Q15" s="21">
        <v>14</v>
      </c>
      <c r="R15" s="24">
        <v>23298</v>
      </c>
      <c r="S15" s="23">
        <v>20</v>
      </c>
      <c r="T15" s="24">
        <v>3076</v>
      </c>
      <c r="U15" s="21">
        <v>0</v>
      </c>
      <c r="V15" s="24">
        <v>0</v>
      </c>
      <c r="W15" s="23">
        <v>0</v>
      </c>
      <c r="X15" s="24">
        <v>0</v>
      </c>
      <c r="Y15" s="21">
        <v>0</v>
      </c>
      <c r="Z15" s="24">
        <v>0</v>
      </c>
      <c r="AA15" s="23">
        <v>508</v>
      </c>
      <c r="AB15" s="24">
        <v>105039</v>
      </c>
    </row>
    <row r="16" spans="1:28" s="6" customFormat="1" ht="16.5" customHeight="1">
      <c r="A16" s="19"/>
      <c r="B16" s="20" t="s">
        <v>6</v>
      </c>
      <c r="C16" s="23">
        <f t="shared" si="1"/>
        <v>1317</v>
      </c>
      <c r="D16" s="43">
        <f t="shared" si="2"/>
        <v>561430</v>
      </c>
      <c r="E16" s="38">
        <v>217</v>
      </c>
      <c r="F16" s="22">
        <v>12068</v>
      </c>
      <c r="G16" s="23">
        <v>52</v>
      </c>
      <c r="H16" s="24">
        <v>13516</v>
      </c>
      <c r="I16" s="21">
        <v>145</v>
      </c>
      <c r="J16" s="24">
        <v>2739</v>
      </c>
      <c r="K16" s="53">
        <v>1</v>
      </c>
      <c r="L16" s="24">
        <v>38</v>
      </c>
      <c r="M16" s="21">
        <v>54</v>
      </c>
      <c r="N16" s="24">
        <v>14913</v>
      </c>
      <c r="O16" s="23">
        <v>466</v>
      </c>
      <c r="P16" s="24">
        <v>366509</v>
      </c>
      <c r="Q16" s="21">
        <v>2</v>
      </c>
      <c r="R16" s="24">
        <v>4723</v>
      </c>
      <c r="S16" s="45">
        <v>11</v>
      </c>
      <c r="T16" s="24">
        <v>1809</v>
      </c>
      <c r="U16" s="21">
        <v>0</v>
      </c>
      <c r="V16" s="24">
        <v>0</v>
      </c>
      <c r="W16" s="23">
        <v>0</v>
      </c>
      <c r="X16" s="24">
        <v>0</v>
      </c>
      <c r="Y16" s="21">
        <v>0</v>
      </c>
      <c r="Z16" s="24">
        <v>0</v>
      </c>
      <c r="AA16" s="23">
        <v>369</v>
      </c>
      <c r="AB16" s="24">
        <v>145115</v>
      </c>
    </row>
    <row r="17" spans="1:28" s="6" customFormat="1" ht="16.5" customHeight="1">
      <c r="A17" s="19"/>
      <c r="B17" s="20" t="s">
        <v>7</v>
      </c>
      <c r="C17" s="23">
        <f t="shared" si="1"/>
        <v>1565</v>
      </c>
      <c r="D17" s="43">
        <f t="shared" si="2"/>
        <v>662683</v>
      </c>
      <c r="E17" s="38">
        <v>23</v>
      </c>
      <c r="F17" s="22">
        <v>1212</v>
      </c>
      <c r="G17" s="23">
        <v>17</v>
      </c>
      <c r="H17" s="24">
        <v>4579</v>
      </c>
      <c r="I17" s="21">
        <v>1111</v>
      </c>
      <c r="J17" s="24">
        <v>426540</v>
      </c>
      <c r="K17" s="45">
        <v>0</v>
      </c>
      <c r="L17" s="24">
        <v>7</v>
      </c>
      <c r="M17" s="21">
        <v>22</v>
      </c>
      <c r="N17" s="24">
        <v>7589</v>
      </c>
      <c r="O17" s="23">
        <v>172</v>
      </c>
      <c r="P17" s="24">
        <v>124297</v>
      </c>
      <c r="Q17" s="21">
        <v>3</v>
      </c>
      <c r="R17" s="24">
        <v>7546</v>
      </c>
      <c r="S17" s="45">
        <v>2</v>
      </c>
      <c r="T17" s="24">
        <v>344</v>
      </c>
      <c r="U17" s="21">
        <v>0</v>
      </c>
      <c r="V17" s="24">
        <v>0</v>
      </c>
      <c r="W17" s="23">
        <v>0</v>
      </c>
      <c r="X17" s="24">
        <v>0</v>
      </c>
      <c r="Y17" s="21">
        <v>0</v>
      </c>
      <c r="Z17" s="24">
        <v>0</v>
      </c>
      <c r="AA17" s="23">
        <v>215</v>
      </c>
      <c r="AB17" s="24">
        <v>90569</v>
      </c>
    </row>
    <row r="18" spans="1:28" s="6" customFormat="1" ht="16.5" customHeight="1">
      <c r="A18" s="19"/>
      <c r="B18" s="20" t="s">
        <v>8</v>
      </c>
      <c r="C18" s="23">
        <f t="shared" si="1"/>
        <v>7994</v>
      </c>
      <c r="D18" s="43">
        <f t="shared" si="2"/>
        <v>991986</v>
      </c>
      <c r="E18" s="38">
        <v>438</v>
      </c>
      <c r="F18" s="22">
        <v>18176</v>
      </c>
      <c r="G18" s="23">
        <v>24</v>
      </c>
      <c r="H18" s="24">
        <v>3239</v>
      </c>
      <c r="I18" s="21">
        <v>6670</v>
      </c>
      <c r="J18" s="24">
        <v>831661</v>
      </c>
      <c r="K18" s="23">
        <v>324</v>
      </c>
      <c r="L18" s="24">
        <v>50134</v>
      </c>
      <c r="M18" s="21">
        <v>15</v>
      </c>
      <c r="N18" s="24">
        <v>5260</v>
      </c>
      <c r="O18" s="23">
        <v>18</v>
      </c>
      <c r="P18" s="24">
        <v>6239</v>
      </c>
      <c r="Q18" s="21">
        <v>6</v>
      </c>
      <c r="R18" s="24">
        <v>7689</v>
      </c>
      <c r="S18" s="45">
        <v>0</v>
      </c>
      <c r="T18" s="24">
        <v>38</v>
      </c>
      <c r="U18" s="21">
        <v>0</v>
      </c>
      <c r="V18" s="24">
        <v>0</v>
      </c>
      <c r="W18" s="23">
        <v>0</v>
      </c>
      <c r="X18" s="24">
        <v>0</v>
      </c>
      <c r="Y18" s="21">
        <v>0</v>
      </c>
      <c r="Z18" s="24">
        <v>0</v>
      </c>
      <c r="AA18" s="23">
        <v>499</v>
      </c>
      <c r="AB18" s="24">
        <v>69550</v>
      </c>
    </row>
    <row r="19" spans="1:28" s="6" customFormat="1" ht="16.5" customHeight="1">
      <c r="A19" s="19"/>
      <c r="B19" s="20" t="s">
        <v>9</v>
      </c>
      <c r="C19" s="23">
        <f t="shared" si="1"/>
        <v>38139</v>
      </c>
      <c r="D19" s="43">
        <f t="shared" si="2"/>
        <v>2376280</v>
      </c>
      <c r="E19" s="38">
        <v>18222</v>
      </c>
      <c r="F19" s="22">
        <v>688832</v>
      </c>
      <c r="G19" s="23">
        <v>701</v>
      </c>
      <c r="H19" s="24">
        <v>105276</v>
      </c>
      <c r="I19" s="21">
        <v>14465</v>
      </c>
      <c r="J19" s="24">
        <v>1020496</v>
      </c>
      <c r="K19" s="23">
        <v>2767</v>
      </c>
      <c r="L19" s="24">
        <v>350880</v>
      </c>
      <c r="M19" s="21">
        <v>51</v>
      </c>
      <c r="N19" s="24">
        <v>10981</v>
      </c>
      <c r="O19" s="23">
        <v>175</v>
      </c>
      <c r="P19" s="24">
        <v>61229</v>
      </c>
      <c r="Q19" s="21">
        <v>8</v>
      </c>
      <c r="R19" s="24">
        <v>9842</v>
      </c>
      <c r="S19" s="45">
        <v>5</v>
      </c>
      <c r="T19" s="24">
        <v>810</v>
      </c>
      <c r="U19" s="21">
        <v>0</v>
      </c>
      <c r="V19" s="24">
        <v>0</v>
      </c>
      <c r="W19" s="45">
        <v>0</v>
      </c>
      <c r="X19" s="24">
        <v>18</v>
      </c>
      <c r="Y19" s="46">
        <v>0</v>
      </c>
      <c r="Z19" s="24">
        <v>12</v>
      </c>
      <c r="AA19" s="23">
        <v>1745</v>
      </c>
      <c r="AB19" s="24">
        <v>127904</v>
      </c>
    </row>
    <row r="20" spans="1:28" s="6" customFormat="1" ht="16.5" customHeight="1">
      <c r="A20" s="19"/>
      <c r="B20" s="20" t="s">
        <v>10</v>
      </c>
      <c r="C20" s="23">
        <f t="shared" si="1"/>
        <v>27574</v>
      </c>
      <c r="D20" s="43">
        <f t="shared" si="2"/>
        <v>1299784</v>
      </c>
      <c r="E20" s="38">
        <v>11526</v>
      </c>
      <c r="F20" s="22">
        <v>467375</v>
      </c>
      <c r="G20" s="23">
        <v>434</v>
      </c>
      <c r="H20" s="24">
        <v>144135</v>
      </c>
      <c r="I20" s="21">
        <v>6348</v>
      </c>
      <c r="J20" s="24">
        <v>264426</v>
      </c>
      <c r="K20" s="23">
        <v>1468</v>
      </c>
      <c r="L20" s="24">
        <v>185666</v>
      </c>
      <c r="M20" s="21">
        <v>73</v>
      </c>
      <c r="N20" s="24">
        <v>38498</v>
      </c>
      <c r="O20" s="23">
        <v>116</v>
      </c>
      <c r="P20" s="24">
        <v>35052</v>
      </c>
      <c r="Q20" s="21">
        <v>4</v>
      </c>
      <c r="R20" s="24">
        <v>5169</v>
      </c>
      <c r="S20" s="23">
        <v>9</v>
      </c>
      <c r="T20" s="24">
        <v>1293</v>
      </c>
      <c r="U20" s="21">
        <v>0</v>
      </c>
      <c r="V20" s="24">
        <v>0</v>
      </c>
      <c r="W20" s="23">
        <v>7138</v>
      </c>
      <c r="X20" s="24">
        <v>123672</v>
      </c>
      <c r="Y20" s="46">
        <v>0</v>
      </c>
      <c r="Z20" s="24">
        <v>289</v>
      </c>
      <c r="AA20" s="23">
        <v>458</v>
      </c>
      <c r="AB20" s="24">
        <v>34209</v>
      </c>
    </row>
    <row r="21" spans="1:28" s="6" customFormat="1" ht="16.5" customHeight="1">
      <c r="A21" s="19"/>
      <c r="B21" s="20" t="s">
        <v>11</v>
      </c>
      <c r="C21" s="23">
        <f t="shared" si="1"/>
        <v>6384</v>
      </c>
      <c r="D21" s="43">
        <f t="shared" si="2"/>
        <v>902464</v>
      </c>
      <c r="E21" s="38">
        <v>4145</v>
      </c>
      <c r="F21" s="22">
        <v>299146</v>
      </c>
      <c r="G21" s="23">
        <v>168</v>
      </c>
      <c r="H21" s="24">
        <v>67498</v>
      </c>
      <c r="I21" s="21">
        <v>58</v>
      </c>
      <c r="J21" s="24">
        <v>3113</v>
      </c>
      <c r="K21" s="23">
        <v>108</v>
      </c>
      <c r="L21" s="24">
        <v>25202</v>
      </c>
      <c r="M21" s="21">
        <v>149</v>
      </c>
      <c r="N21" s="24">
        <v>107360</v>
      </c>
      <c r="O21" s="23">
        <v>1</v>
      </c>
      <c r="P21" s="24">
        <v>203</v>
      </c>
      <c r="Q21" s="21">
        <v>2</v>
      </c>
      <c r="R21" s="24">
        <v>2257</v>
      </c>
      <c r="S21" s="23">
        <v>10</v>
      </c>
      <c r="T21" s="24">
        <v>2020</v>
      </c>
      <c r="U21" s="21">
        <v>0</v>
      </c>
      <c r="V21" s="24">
        <v>0</v>
      </c>
      <c r="W21" s="45">
        <v>0</v>
      </c>
      <c r="X21" s="24">
        <v>85</v>
      </c>
      <c r="Y21" s="21">
        <v>252</v>
      </c>
      <c r="Z21" s="24">
        <v>249869</v>
      </c>
      <c r="AA21" s="23">
        <v>1491</v>
      </c>
      <c r="AB21" s="24">
        <v>145711</v>
      </c>
    </row>
    <row r="22" spans="1:28" s="6" customFormat="1" ht="16.5" customHeight="1">
      <c r="A22" s="25"/>
      <c r="B22" s="26" t="s">
        <v>12</v>
      </c>
      <c r="C22" s="31">
        <f t="shared" si="1"/>
        <v>6889</v>
      </c>
      <c r="D22" s="44">
        <f t="shared" si="2"/>
        <v>857695</v>
      </c>
      <c r="E22" s="39">
        <v>4820</v>
      </c>
      <c r="F22" s="34">
        <v>380103</v>
      </c>
      <c r="G22" s="31">
        <v>545</v>
      </c>
      <c r="H22" s="32">
        <v>176078</v>
      </c>
      <c r="I22" s="33">
        <v>0</v>
      </c>
      <c r="J22" s="32">
        <v>0</v>
      </c>
      <c r="K22" s="31">
        <v>2</v>
      </c>
      <c r="L22" s="32">
        <v>86</v>
      </c>
      <c r="M22" s="33">
        <v>169</v>
      </c>
      <c r="N22" s="32">
        <v>123432</v>
      </c>
      <c r="O22" s="31">
        <v>0</v>
      </c>
      <c r="P22" s="32">
        <v>0</v>
      </c>
      <c r="Q22" s="33">
        <v>3</v>
      </c>
      <c r="R22" s="32">
        <v>3380</v>
      </c>
      <c r="S22" s="31">
        <v>26</v>
      </c>
      <c r="T22" s="32">
        <v>4298</v>
      </c>
      <c r="U22" s="33">
        <v>0</v>
      </c>
      <c r="V22" s="32">
        <v>0</v>
      </c>
      <c r="W22" s="31">
        <v>0</v>
      </c>
      <c r="X22" s="32">
        <v>0</v>
      </c>
      <c r="Y22" s="33">
        <v>0</v>
      </c>
      <c r="Z22" s="32">
        <v>0</v>
      </c>
      <c r="AA22" s="31">
        <v>1324</v>
      </c>
      <c r="AB22" s="32">
        <v>170318</v>
      </c>
    </row>
    <row r="23" s="6" customFormat="1" ht="16.5" customHeight="1">
      <c r="A23" s="6" t="s">
        <v>19</v>
      </c>
    </row>
    <row r="24" s="6" customFormat="1" ht="16.5" customHeight="1">
      <c r="A24" s="6" t="s">
        <v>20</v>
      </c>
    </row>
    <row r="25" s="1" customFormat="1" ht="15" customHeight="1"/>
    <row r="26" s="1" customFormat="1" ht="15" customHeight="1"/>
    <row r="27" ht="13.5">
      <c r="E27" s="57"/>
    </row>
  </sheetData>
  <sheetProtection/>
  <mergeCells count="14">
    <mergeCell ref="Y4:Z4"/>
    <mergeCell ref="AA4:AB4"/>
    <mergeCell ref="Q4:R4"/>
    <mergeCell ref="S4:T4"/>
    <mergeCell ref="U4:V4"/>
    <mergeCell ref="W4:X4"/>
    <mergeCell ref="I4:J4"/>
    <mergeCell ref="K4:L4"/>
    <mergeCell ref="M4:N4"/>
    <mergeCell ref="O4:P4"/>
    <mergeCell ref="A4:B5"/>
    <mergeCell ref="C4:D4"/>
    <mergeCell ref="E4:F4"/>
    <mergeCell ref="G4:H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26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7.59765625" style="3" customWidth="1"/>
    <col min="2" max="2" width="5.5" style="3" customWidth="1"/>
    <col min="3" max="3" width="10.5" style="3" bestFit="1" customWidth="1"/>
    <col min="4" max="4" width="13.8984375" style="3" bestFit="1" customWidth="1"/>
    <col min="5" max="5" width="8.59765625" style="3" customWidth="1"/>
    <col min="6" max="6" width="11.8984375" style="3" customWidth="1"/>
    <col min="7" max="7" width="8.59765625" style="3" customWidth="1"/>
    <col min="8" max="8" width="11.8984375" style="3" customWidth="1"/>
    <col min="9" max="9" width="8.59765625" style="3" customWidth="1"/>
    <col min="10" max="10" width="11.8984375" style="3" customWidth="1"/>
    <col min="11" max="11" width="8.59765625" style="3" customWidth="1"/>
    <col min="12" max="12" width="11.8984375" style="3" customWidth="1"/>
    <col min="13" max="13" width="8.59765625" style="3" customWidth="1"/>
    <col min="14" max="14" width="11.8984375" style="3" customWidth="1"/>
    <col min="15" max="15" width="8.59765625" style="3" customWidth="1"/>
    <col min="16" max="16" width="11.8984375" style="3" customWidth="1"/>
    <col min="17" max="17" width="8.59765625" style="3" customWidth="1"/>
    <col min="18" max="18" width="11.8984375" style="3" customWidth="1"/>
    <col min="19" max="19" width="8.59765625" style="3" customWidth="1"/>
    <col min="20" max="20" width="11.8984375" style="3" customWidth="1"/>
    <col min="21" max="21" width="8.59765625" style="3" customWidth="1"/>
    <col min="22" max="22" width="11.8984375" style="3" customWidth="1"/>
    <col min="23" max="23" width="8.59765625" style="3" customWidth="1"/>
    <col min="24" max="24" width="11.8984375" style="3" customWidth="1"/>
    <col min="25" max="25" width="8.59765625" style="3" customWidth="1"/>
    <col min="26" max="26" width="11.8984375" style="3" customWidth="1"/>
    <col min="27" max="27" width="8.59765625" style="3" customWidth="1"/>
    <col min="28" max="28" width="11.8984375" style="3" customWidth="1"/>
    <col min="29" max="16384" width="9" style="3" customWidth="1"/>
  </cols>
  <sheetData>
    <row r="1" s="2" customFormat="1" ht="16.5" customHeight="1">
      <c r="A1" s="5" t="s">
        <v>84</v>
      </c>
    </row>
    <row r="2" s="2" customFormat="1" ht="13.5" customHeight="1"/>
    <row r="3" s="6" customFormat="1" ht="16.5" customHeight="1">
      <c r="A3" s="6" t="s">
        <v>31</v>
      </c>
    </row>
    <row r="4" spans="1:28" s="6" customFormat="1" ht="18.75" customHeight="1">
      <c r="A4" s="120" t="s">
        <v>18</v>
      </c>
      <c r="B4" s="121"/>
      <c r="C4" s="124" t="s">
        <v>0</v>
      </c>
      <c r="D4" s="125"/>
      <c r="E4" s="126" t="s">
        <v>14</v>
      </c>
      <c r="F4" s="113"/>
      <c r="G4" s="112" t="s">
        <v>21</v>
      </c>
      <c r="H4" s="113"/>
      <c r="I4" s="112" t="s">
        <v>22</v>
      </c>
      <c r="J4" s="113"/>
      <c r="K4" s="112" t="s">
        <v>23</v>
      </c>
      <c r="L4" s="113"/>
      <c r="M4" s="112" t="s">
        <v>24</v>
      </c>
      <c r="N4" s="113"/>
      <c r="O4" s="112" t="s">
        <v>15</v>
      </c>
      <c r="P4" s="113"/>
      <c r="Q4" s="112" t="s">
        <v>25</v>
      </c>
      <c r="R4" s="113"/>
      <c r="S4" s="112" t="s">
        <v>26</v>
      </c>
      <c r="T4" s="113"/>
      <c r="U4" s="112" t="s">
        <v>27</v>
      </c>
      <c r="V4" s="113"/>
      <c r="W4" s="112" t="s">
        <v>28</v>
      </c>
      <c r="X4" s="113"/>
      <c r="Y4" s="112" t="s">
        <v>29</v>
      </c>
      <c r="Z4" s="113"/>
      <c r="AA4" s="112" t="s">
        <v>30</v>
      </c>
      <c r="AB4" s="113"/>
    </row>
    <row r="5" spans="1:28" s="6" customFormat="1" ht="18.75" customHeight="1">
      <c r="A5" s="122"/>
      <c r="B5" s="123"/>
      <c r="C5" s="7" t="s">
        <v>16</v>
      </c>
      <c r="D5" s="40" t="s">
        <v>17</v>
      </c>
      <c r="E5" s="35" t="s">
        <v>16</v>
      </c>
      <c r="F5" s="10" t="s">
        <v>17</v>
      </c>
      <c r="G5" s="7" t="s">
        <v>16</v>
      </c>
      <c r="H5" s="8" t="s">
        <v>17</v>
      </c>
      <c r="I5" s="9" t="s">
        <v>16</v>
      </c>
      <c r="J5" s="10" t="s">
        <v>17</v>
      </c>
      <c r="K5" s="7" t="s">
        <v>16</v>
      </c>
      <c r="L5" s="8" t="s">
        <v>17</v>
      </c>
      <c r="M5" s="9" t="s">
        <v>16</v>
      </c>
      <c r="N5" s="10" t="s">
        <v>17</v>
      </c>
      <c r="O5" s="7" t="s">
        <v>16</v>
      </c>
      <c r="P5" s="8" t="s">
        <v>17</v>
      </c>
      <c r="Q5" s="9" t="s">
        <v>16</v>
      </c>
      <c r="R5" s="10" t="s">
        <v>17</v>
      </c>
      <c r="S5" s="7" t="s">
        <v>16</v>
      </c>
      <c r="T5" s="8" t="s">
        <v>17</v>
      </c>
      <c r="U5" s="9" t="s">
        <v>16</v>
      </c>
      <c r="V5" s="10" t="s">
        <v>17</v>
      </c>
      <c r="W5" s="7" t="s">
        <v>16</v>
      </c>
      <c r="X5" s="8" t="s">
        <v>17</v>
      </c>
      <c r="Y5" s="9" t="s">
        <v>16</v>
      </c>
      <c r="Z5" s="10" t="s">
        <v>17</v>
      </c>
      <c r="AA5" s="7" t="s">
        <v>16</v>
      </c>
      <c r="AB5" s="8" t="s">
        <v>17</v>
      </c>
    </row>
    <row r="6" spans="1:28" s="6" customFormat="1" ht="18.75" customHeight="1">
      <c r="A6" s="11" t="s">
        <v>71</v>
      </c>
      <c r="B6" s="12" t="s">
        <v>13</v>
      </c>
      <c r="C6" s="27">
        <v>114577</v>
      </c>
      <c r="D6" s="41">
        <v>11911835</v>
      </c>
      <c r="E6" s="36">
        <v>53813</v>
      </c>
      <c r="F6" s="30">
        <v>3896698</v>
      </c>
      <c r="G6" s="27">
        <v>3869</v>
      </c>
      <c r="H6" s="28">
        <v>966494</v>
      </c>
      <c r="I6" s="29">
        <v>28526</v>
      </c>
      <c r="J6" s="30">
        <v>1985504</v>
      </c>
      <c r="K6" s="27">
        <v>3602</v>
      </c>
      <c r="L6" s="28">
        <v>587516</v>
      </c>
      <c r="M6" s="29">
        <v>1345</v>
      </c>
      <c r="N6" s="30">
        <v>705161</v>
      </c>
      <c r="O6" s="27">
        <v>1579</v>
      </c>
      <c r="P6" s="28">
        <v>856075</v>
      </c>
      <c r="Q6" s="29">
        <v>118</v>
      </c>
      <c r="R6" s="30">
        <v>212500</v>
      </c>
      <c r="S6" s="27">
        <v>741</v>
      </c>
      <c r="T6" s="28">
        <v>140828</v>
      </c>
      <c r="U6" s="29">
        <v>3364</v>
      </c>
      <c r="V6" s="30">
        <v>78773</v>
      </c>
      <c r="W6" s="27">
        <v>2280</v>
      </c>
      <c r="X6" s="28">
        <v>43754</v>
      </c>
      <c r="Y6" s="29">
        <v>251</v>
      </c>
      <c r="Z6" s="30">
        <v>257030</v>
      </c>
      <c r="AA6" s="27">
        <v>15089</v>
      </c>
      <c r="AB6" s="28">
        <v>2181502</v>
      </c>
    </row>
    <row r="7" spans="1:28" s="6" customFormat="1" ht="18.75" customHeight="1">
      <c r="A7" s="19" t="s">
        <v>70</v>
      </c>
      <c r="B7" s="48" t="s">
        <v>13</v>
      </c>
      <c r="C7" s="23">
        <v>137948</v>
      </c>
      <c r="D7" s="43">
        <v>14562957</v>
      </c>
      <c r="E7" s="38">
        <v>55786</v>
      </c>
      <c r="F7" s="22">
        <v>4489157</v>
      </c>
      <c r="G7" s="23">
        <v>3310</v>
      </c>
      <c r="H7" s="24">
        <v>992926</v>
      </c>
      <c r="I7" s="21">
        <v>27899</v>
      </c>
      <c r="J7" s="22">
        <v>2081572</v>
      </c>
      <c r="K7" s="23">
        <v>3869</v>
      </c>
      <c r="L7" s="24">
        <v>893617</v>
      </c>
      <c r="M7" s="21">
        <v>1490</v>
      </c>
      <c r="N7" s="22">
        <v>754333</v>
      </c>
      <c r="O7" s="23">
        <v>1487</v>
      </c>
      <c r="P7" s="24">
        <v>916744</v>
      </c>
      <c r="Q7" s="21">
        <v>108</v>
      </c>
      <c r="R7" s="22">
        <v>195023</v>
      </c>
      <c r="S7" s="23">
        <v>725</v>
      </c>
      <c r="T7" s="24">
        <v>89569</v>
      </c>
      <c r="U7" s="21">
        <v>1891</v>
      </c>
      <c r="V7" s="22">
        <v>144705</v>
      </c>
      <c r="W7" s="23">
        <v>16112</v>
      </c>
      <c r="X7" s="24">
        <v>382795</v>
      </c>
      <c r="Y7" s="46">
        <v>360</v>
      </c>
      <c r="Z7" s="22">
        <v>326991</v>
      </c>
      <c r="AA7" s="23">
        <v>24912</v>
      </c>
      <c r="AB7" s="24">
        <v>3295525</v>
      </c>
    </row>
    <row r="8" spans="1:28" s="6" customFormat="1" ht="18.75" customHeight="1">
      <c r="A8" s="19" t="s">
        <v>69</v>
      </c>
      <c r="B8" s="48" t="s">
        <v>13</v>
      </c>
      <c r="C8" s="23">
        <v>107569</v>
      </c>
      <c r="D8" s="43">
        <v>12723109</v>
      </c>
      <c r="E8" s="38">
        <v>50408</v>
      </c>
      <c r="F8" s="22">
        <v>4285036</v>
      </c>
      <c r="G8" s="23">
        <v>3511</v>
      </c>
      <c r="H8" s="24">
        <v>1040834</v>
      </c>
      <c r="I8" s="23">
        <v>34098</v>
      </c>
      <c r="J8" s="22">
        <v>2522079</v>
      </c>
      <c r="K8" s="23">
        <v>4992</v>
      </c>
      <c r="L8" s="24">
        <v>660467</v>
      </c>
      <c r="M8" s="23">
        <v>1176</v>
      </c>
      <c r="N8" s="22">
        <v>718806</v>
      </c>
      <c r="O8" s="23">
        <v>1422</v>
      </c>
      <c r="P8" s="24">
        <v>853981</v>
      </c>
      <c r="Q8" s="23">
        <v>103</v>
      </c>
      <c r="R8" s="22">
        <v>171971</v>
      </c>
      <c r="S8" s="23">
        <v>482</v>
      </c>
      <c r="T8" s="24">
        <v>114497</v>
      </c>
      <c r="U8" s="23">
        <v>794</v>
      </c>
      <c r="V8" s="22">
        <v>72318</v>
      </c>
      <c r="W8" s="23">
        <v>52</v>
      </c>
      <c r="X8" s="24">
        <v>2180</v>
      </c>
      <c r="Y8" s="45">
        <v>250</v>
      </c>
      <c r="Z8" s="22">
        <v>366073</v>
      </c>
      <c r="AA8" s="23">
        <v>10282</v>
      </c>
      <c r="AB8" s="24">
        <v>1914866</v>
      </c>
    </row>
    <row r="9" spans="1:28" s="6" customFormat="1" ht="18.75" customHeight="1" thickBot="1">
      <c r="A9" s="13" t="s">
        <v>68</v>
      </c>
      <c r="B9" s="14" t="s">
        <v>13</v>
      </c>
      <c r="C9" s="17">
        <f aca="true" t="shared" si="0" ref="C9:AB9">SUM(C10:C21)</f>
        <v>125679</v>
      </c>
      <c r="D9" s="42">
        <f t="shared" si="0"/>
        <v>15281221</v>
      </c>
      <c r="E9" s="49">
        <f t="shared" si="0"/>
        <v>66253</v>
      </c>
      <c r="F9" s="16">
        <f t="shared" si="0"/>
        <v>6179462</v>
      </c>
      <c r="G9" s="17">
        <f t="shared" si="0"/>
        <v>3669</v>
      </c>
      <c r="H9" s="18">
        <f t="shared" si="0"/>
        <v>1200338</v>
      </c>
      <c r="I9" s="17">
        <f t="shared" si="0"/>
        <v>30698</v>
      </c>
      <c r="J9" s="18">
        <f t="shared" si="0"/>
        <v>2575115</v>
      </c>
      <c r="K9" s="17">
        <f t="shared" si="0"/>
        <v>1852</v>
      </c>
      <c r="L9" s="18">
        <f t="shared" si="0"/>
        <v>257255</v>
      </c>
      <c r="M9" s="17">
        <f t="shared" si="0"/>
        <v>972</v>
      </c>
      <c r="N9" s="18">
        <f t="shared" si="0"/>
        <v>586883</v>
      </c>
      <c r="O9" s="17">
        <f t="shared" si="0"/>
        <v>1462</v>
      </c>
      <c r="P9" s="18">
        <f t="shared" si="0"/>
        <v>895714</v>
      </c>
      <c r="Q9" s="17">
        <f t="shared" si="0"/>
        <v>32</v>
      </c>
      <c r="R9" s="18">
        <f t="shared" si="0"/>
        <v>54093</v>
      </c>
      <c r="S9" s="17">
        <f t="shared" si="0"/>
        <v>233</v>
      </c>
      <c r="T9" s="18">
        <f t="shared" si="0"/>
        <v>70889</v>
      </c>
      <c r="U9" s="54">
        <f t="shared" si="0"/>
        <v>19</v>
      </c>
      <c r="V9" s="18">
        <f t="shared" si="0"/>
        <v>2464</v>
      </c>
      <c r="W9" s="17">
        <f t="shared" si="0"/>
        <v>681</v>
      </c>
      <c r="X9" s="18">
        <f t="shared" si="0"/>
        <v>20030</v>
      </c>
      <c r="Y9" s="17">
        <f t="shared" si="0"/>
        <v>102</v>
      </c>
      <c r="Z9" s="18">
        <f t="shared" si="0"/>
        <v>191992</v>
      </c>
      <c r="AA9" s="17">
        <f t="shared" si="0"/>
        <v>19706</v>
      </c>
      <c r="AB9" s="18">
        <f t="shared" si="0"/>
        <v>3246986</v>
      </c>
    </row>
    <row r="10" spans="1:28" s="6" customFormat="1" ht="16.5" customHeight="1" thickTop="1">
      <c r="A10" s="19" t="s">
        <v>68</v>
      </c>
      <c r="B10" s="20" t="s">
        <v>1</v>
      </c>
      <c r="C10" s="23">
        <f aca="true" t="shared" si="1" ref="C10:D21">E10+G10+I10+K10+M10+O10+Q10+S10+U10+W10+Y10+AA10</f>
        <v>5887</v>
      </c>
      <c r="D10" s="43">
        <f t="shared" si="1"/>
        <v>766202</v>
      </c>
      <c r="E10" s="38">
        <v>4874</v>
      </c>
      <c r="F10" s="22">
        <v>425260</v>
      </c>
      <c r="G10" s="23">
        <v>459</v>
      </c>
      <c r="H10" s="24">
        <v>170725</v>
      </c>
      <c r="I10" s="21">
        <v>0</v>
      </c>
      <c r="J10" s="22">
        <v>0</v>
      </c>
      <c r="K10" s="23">
        <v>27</v>
      </c>
      <c r="L10" s="24">
        <v>2488</v>
      </c>
      <c r="M10" s="21">
        <v>52</v>
      </c>
      <c r="N10" s="22">
        <v>32960</v>
      </c>
      <c r="O10" s="23">
        <v>0</v>
      </c>
      <c r="P10" s="24">
        <v>0</v>
      </c>
      <c r="Q10" s="46">
        <v>0</v>
      </c>
      <c r="R10" s="22">
        <v>360</v>
      </c>
      <c r="S10" s="23">
        <v>49</v>
      </c>
      <c r="T10" s="24">
        <v>18743</v>
      </c>
      <c r="U10" s="21">
        <v>0</v>
      </c>
      <c r="V10" s="22">
        <v>0</v>
      </c>
      <c r="W10" s="23">
        <v>0</v>
      </c>
      <c r="X10" s="24">
        <v>0</v>
      </c>
      <c r="Y10" s="21">
        <v>0</v>
      </c>
      <c r="Z10" s="22">
        <v>0</v>
      </c>
      <c r="AA10" s="23">
        <v>426</v>
      </c>
      <c r="AB10" s="24">
        <v>115666</v>
      </c>
    </row>
    <row r="11" spans="1:28" s="6" customFormat="1" ht="16.5" customHeight="1">
      <c r="A11" s="19"/>
      <c r="B11" s="20" t="s">
        <v>2</v>
      </c>
      <c r="C11" s="23">
        <f t="shared" si="1"/>
        <v>15313</v>
      </c>
      <c r="D11" s="43">
        <f t="shared" si="1"/>
        <v>2202539</v>
      </c>
      <c r="E11" s="38">
        <v>7201</v>
      </c>
      <c r="F11" s="22">
        <v>816745</v>
      </c>
      <c r="G11" s="23">
        <v>375</v>
      </c>
      <c r="H11" s="24">
        <v>135317</v>
      </c>
      <c r="I11" s="21">
        <v>0</v>
      </c>
      <c r="J11" s="22">
        <v>0</v>
      </c>
      <c r="K11" s="23">
        <v>30</v>
      </c>
      <c r="L11" s="24">
        <v>2661</v>
      </c>
      <c r="M11" s="21">
        <v>33</v>
      </c>
      <c r="N11" s="22">
        <v>15110</v>
      </c>
      <c r="O11" s="23">
        <v>0</v>
      </c>
      <c r="P11" s="24">
        <v>0</v>
      </c>
      <c r="Q11" s="46">
        <v>0</v>
      </c>
      <c r="R11" s="22">
        <v>507</v>
      </c>
      <c r="S11" s="23">
        <v>34</v>
      </c>
      <c r="T11" s="24">
        <v>14010</v>
      </c>
      <c r="U11" s="21">
        <v>0</v>
      </c>
      <c r="V11" s="22">
        <v>0</v>
      </c>
      <c r="W11" s="23">
        <v>0</v>
      </c>
      <c r="X11" s="24">
        <v>0</v>
      </c>
      <c r="Y11" s="21">
        <v>0</v>
      </c>
      <c r="Z11" s="22">
        <v>0</v>
      </c>
      <c r="AA11" s="23">
        <v>7640</v>
      </c>
      <c r="AB11" s="24">
        <v>1218189</v>
      </c>
    </row>
    <row r="12" spans="1:28" s="6" customFormat="1" ht="16.5" customHeight="1">
      <c r="A12" s="19"/>
      <c r="B12" s="20" t="s">
        <v>3</v>
      </c>
      <c r="C12" s="23">
        <f t="shared" si="1"/>
        <v>11930</v>
      </c>
      <c r="D12" s="43">
        <f t="shared" si="1"/>
        <v>1817520</v>
      </c>
      <c r="E12" s="38">
        <v>4521</v>
      </c>
      <c r="F12" s="22">
        <v>592844</v>
      </c>
      <c r="G12" s="23">
        <v>303</v>
      </c>
      <c r="H12" s="24">
        <v>90880</v>
      </c>
      <c r="I12" s="21">
        <v>0</v>
      </c>
      <c r="J12" s="22">
        <v>0</v>
      </c>
      <c r="K12" s="23">
        <v>43</v>
      </c>
      <c r="L12" s="24">
        <v>2736</v>
      </c>
      <c r="M12" s="21">
        <v>76</v>
      </c>
      <c r="N12" s="22">
        <v>33200</v>
      </c>
      <c r="O12" s="23">
        <v>0</v>
      </c>
      <c r="P12" s="24">
        <v>0</v>
      </c>
      <c r="Q12" s="21">
        <v>4</v>
      </c>
      <c r="R12" s="22">
        <v>6949</v>
      </c>
      <c r="S12" s="23">
        <v>61</v>
      </c>
      <c r="T12" s="24">
        <v>20523</v>
      </c>
      <c r="U12" s="21">
        <v>0</v>
      </c>
      <c r="V12" s="22">
        <v>0</v>
      </c>
      <c r="W12" s="23">
        <v>0</v>
      </c>
      <c r="X12" s="24">
        <v>0</v>
      </c>
      <c r="Y12" s="21">
        <v>0</v>
      </c>
      <c r="Z12" s="22">
        <v>0</v>
      </c>
      <c r="AA12" s="23">
        <v>6922</v>
      </c>
      <c r="AB12" s="24">
        <v>1070388</v>
      </c>
    </row>
    <row r="13" spans="1:28" s="6" customFormat="1" ht="16.5" customHeight="1">
      <c r="A13" s="19"/>
      <c r="B13" s="20" t="s">
        <v>4</v>
      </c>
      <c r="C13" s="23">
        <f t="shared" si="1"/>
        <v>6474</v>
      </c>
      <c r="D13" s="43">
        <f t="shared" si="1"/>
        <v>960492</v>
      </c>
      <c r="E13" s="38">
        <v>4612</v>
      </c>
      <c r="F13" s="22">
        <v>525006</v>
      </c>
      <c r="G13" s="23">
        <v>542</v>
      </c>
      <c r="H13" s="24">
        <v>148021</v>
      </c>
      <c r="I13" s="21">
        <v>0</v>
      </c>
      <c r="J13" s="22">
        <v>0</v>
      </c>
      <c r="K13" s="23">
        <v>20</v>
      </c>
      <c r="L13" s="24">
        <v>1107</v>
      </c>
      <c r="M13" s="21">
        <v>81</v>
      </c>
      <c r="N13" s="22">
        <v>37774</v>
      </c>
      <c r="O13" s="23">
        <v>1</v>
      </c>
      <c r="P13" s="24">
        <v>722</v>
      </c>
      <c r="Q13" s="21">
        <v>4</v>
      </c>
      <c r="R13" s="22">
        <v>8466</v>
      </c>
      <c r="S13" s="23">
        <v>16</v>
      </c>
      <c r="T13" s="24">
        <v>3754</v>
      </c>
      <c r="U13" s="21">
        <v>0</v>
      </c>
      <c r="V13" s="22">
        <v>0</v>
      </c>
      <c r="W13" s="23">
        <v>0</v>
      </c>
      <c r="X13" s="24">
        <v>0</v>
      </c>
      <c r="Y13" s="21">
        <v>0</v>
      </c>
      <c r="Z13" s="22">
        <v>0</v>
      </c>
      <c r="AA13" s="23">
        <v>1198</v>
      </c>
      <c r="AB13" s="24">
        <v>235642</v>
      </c>
    </row>
    <row r="14" spans="1:28" s="6" customFormat="1" ht="16.5" customHeight="1">
      <c r="A14" s="19"/>
      <c r="B14" s="20" t="s">
        <v>5</v>
      </c>
      <c r="C14" s="23">
        <f t="shared" si="1"/>
        <v>4951</v>
      </c>
      <c r="D14" s="43">
        <f t="shared" si="1"/>
        <v>694374</v>
      </c>
      <c r="E14" s="38">
        <v>4236</v>
      </c>
      <c r="F14" s="22">
        <v>499201</v>
      </c>
      <c r="G14" s="23">
        <v>361</v>
      </c>
      <c r="H14" s="24">
        <v>74283</v>
      </c>
      <c r="I14" s="21">
        <v>0</v>
      </c>
      <c r="J14" s="22">
        <v>0</v>
      </c>
      <c r="K14" s="23">
        <v>2</v>
      </c>
      <c r="L14" s="24">
        <v>128</v>
      </c>
      <c r="M14" s="21">
        <v>47</v>
      </c>
      <c r="N14" s="22">
        <v>19012</v>
      </c>
      <c r="O14" s="23">
        <v>16</v>
      </c>
      <c r="P14" s="24">
        <v>8575</v>
      </c>
      <c r="Q14" s="21">
        <v>3</v>
      </c>
      <c r="R14" s="22">
        <v>3412</v>
      </c>
      <c r="S14" s="23">
        <v>3</v>
      </c>
      <c r="T14" s="24">
        <v>1041</v>
      </c>
      <c r="U14" s="21">
        <v>0</v>
      </c>
      <c r="V14" s="22">
        <v>0</v>
      </c>
      <c r="W14" s="23">
        <v>0</v>
      </c>
      <c r="X14" s="24">
        <v>0</v>
      </c>
      <c r="Y14" s="21">
        <v>0</v>
      </c>
      <c r="Z14" s="22">
        <v>0</v>
      </c>
      <c r="AA14" s="23">
        <v>283</v>
      </c>
      <c r="AB14" s="24">
        <v>88722</v>
      </c>
    </row>
    <row r="15" spans="1:28" s="6" customFormat="1" ht="16.5" customHeight="1">
      <c r="A15" s="19"/>
      <c r="B15" s="20" t="s">
        <v>6</v>
      </c>
      <c r="C15" s="23">
        <f t="shared" si="1"/>
        <v>2081</v>
      </c>
      <c r="D15" s="43">
        <f t="shared" si="1"/>
        <v>753483</v>
      </c>
      <c r="E15" s="38">
        <v>292</v>
      </c>
      <c r="F15" s="22">
        <v>39382</v>
      </c>
      <c r="G15" s="23">
        <v>128</v>
      </c>
      <c r="H15" s="24">
        <v>20918</v>
      </c>
      <c r="I15" s="21">
        <v>624</v>
      </c>
      <c r="J15" s="22">
        <v>20198</v>
      </c>
      <c r="K15" s="53">
        <v>0</v>
      </c>
      <c r="L15" s="24">
        <v>13</v>
      </c>
      <c r="M15" s="21">
        <v>39</v>
      </c>
      <c r="N15" s="22">
        <v>15006</v>
      </c>
      <c r="O15" s="23">
        <v>661</v>
      </c>
      <c r="P15" s="24">
        <v>485512</v>
      </c>
      <c r="Q15" s="21">
        <v>4</v>
      </c>
      <c r="R15" s="22">
        <v>4934</v>
      </c>
      <c r="S15" s="45">
        <v>0</v>
      </c>
      <c r="T15" s="24">
        <v>79</v>
      </c>
      <c r="U15" s="21">
        <v>0</v>
      </c>
      <c r="V15" s="22">
        <v>0</v>
      </c>
      <c r="W15" s="23">
        <v>0</v>
      </c>
      <c r="X15" s="24">
        <v>0</v>
      </c>
      <c r="Y15" s="21">
        <v>0</v>
      </c>
      <c r="Z15" s="22">
        <v>0</v>
      </c>
      <c r="AA15" s="23">
        <v>333</v>
      </c>
      <c r="AB15" s="24">
        <v>167441</v>
      </c>
    </row>
    <row r="16" spans="1:28" s="6" customFormat="1" ht="16.5" customHeight="1">
      <c r="A16" s="19"/>
      <c r="B16" s="20" t="s">
        <v>7</v>
      </c>
      <c r="C16" s="23">
        <f t="shared" si="1"/>
        <v>1870</v>
      </c>
      <c r="D16" s="43">
        <f t="shared" si="1"/>
        <v>772668</v>
      </c>
      <c r="E16" s="38">
        <v>157</v>
      </c>
      <c r="F16" s="22">
        <v>13020</v>
      </c>
      <c r="G16" s="23">
        <v>64</v>
      </c>
      <c r="H16" s="24">
        <v>10443</v>
      </c>
      <c r="I16" s="21">
        <v>851</v>
      </c>
      <c r="J16" s="22">
        <v>330821</v>
      </c>
      <c r="K16" s="45">
        <v>1</v>
      </c>
      <c r="L16" s="24">
        <v>31</v>
      </c>
      <c r="M16" s="21">
        <v>41</v>
      </c>
      <c r="N16" s="22">
        <v>21628</v>
      </c>
      <c r="O16" s="23">
        <v>469</v>
      </c>
      <c r="P16" s="24">
        <v>284937</v>
      </c>
      <c r="Q16" s="21">
        <v>5</v>
      </c>
      <c r="R16" s="22">
        <v>8750</v>
      </c>
      <c r="S16" s="45">
        <v>0</v>
      </c>
      <c r="T16" s="24">
        <v>159</v>
      </c>
      <c r="U16" s="45">
        <v>0</v>
      </c>
      <c r="V16" s="22">
        <v>1</v>
      </c>
      <c r="W16" s="23">
        <v>0</v>
      </c>
      <c r="X16" s="24">
        <v>0</v>
      </c>
      <c r="Y16" s="21">
        <v>0</v>
      </c>
      <c r="Z16" s="22">
        <v>0</v>
      </c>
      <c r="AA16" s="23">
        <v>282</v>
      </c>
      <c r="AB16" s="24">
        <v>102878</v>
      </c>
    </row>
    <row r="17" spans="1:28" s="6" customFormat="1" ht="16.5" customHeight="1">
      <c r="A17" s="19"/>
      <c r="B17" s="20" t="s">
        <v>8</v>
      </c>
      <c r="C17" s="23">
        <f t="shared" si="1"/>
        <v>5275</v>
      </c>
      <c r="D17" s="43">
        <f t="shared" si="1"/>
        <v>796582</v>
      </c>
      <c r="E17" s="38">
        <v>535</v>
      </c>
      <c r="F17" s="22">
        <v>35444</v>
      </c>
      <c r="G17" s="23">
        <v>34</v>
      </c>
      <c r="H17" s="24">
        <v>6902</v>
      </c>
      <c r="I17" s="21">
        <v>4269</v>
      </c>
      <c r="J17" s="22">
        <v>668248</v>
      </c>
      <c r="K17" s="23">
        <v>196</v>
      </c>
      <c r="L17" s="24">
        <v>30262</v>
      </c>
      <c r="M17" s="21">
        <v>21</v>
      </c>
      <c r="N17" s="22">
        <v>14145</v>
      </c>
      <c r="O17" s="23">
        <v>19</v>
      </c>
      <c r="P17" s="24">
        <v>5229</v>
      </c>
      <c r="Q17" s="21">
        <v>2</v>
      </c>
      <c r="R17" s="22">
        <v>4147</v>
      </c>
      <c r="S17" s="45">
        <v>0</v>
      </c>
      <c r="T17" s="24">
        <v>20</v>
      </c>
      <c r="U17" s="21">
        <v>0</v>
      </c>
      <c r="V17" s="22">
        <v>0</v>
      </c>
      <c r="W17" s="23">
        <v>0</v>
      </c>
      <c r="X17" s="24">
        <v>0</v>
      </c>
      <c r="Y17" s="21">
        <v>0</v>
      </c>
      <c r="Z17" s="22">
        <v>0</v>
      </c>
      <c r="AA17" s="23">
        <v>199</v>
      </c>
      <c r="AB17" s="24">
        <v>32185</v>
      </c>
    </row>
    <row r="18" spans="1:28" s="6" customFormat="1" ht="16.5" customHeight="1">
      <c r="A18" s="19"/>
      <c r="B18" s="20" t="s">
        <v>9</v>
      </c>
      <c r="C18" s="23">
        <f t="shared" si="1"/>
        <v>33740</v>
      </c>
      <c r="D18" s="43">
        <f t="shared" si="1"/>
        <v>2503392</v>
      </c>
      <c r="E18" s="38">
        <v>17496</v>
      </c>
      <c r="F18" s="22">
        <v>1193318</v>
      </c>
      <c r="G18" s="23">
        <v>338</v>
      </c>
      <c r="H18" s="24">
        <v>81748</v>
      </c>
      <c r="I18" s="21">
        <v>14413</v>
      </c>
      <c r="J18" s="22">
        <v>954940</v>
      </c>
      <c r="K18" s="23">
        <v>969</v>
      </c>
      <c r="L18" s="24">
        <v>137316</v>
      </c>
      <c r="M18" s="21">
        <v>21</v>
      </c>
      <c r="N18" s="22">
        <v>10687</v>
      </c>
      <c r="O18" s="23">
        <v>199</v>
      </c>
      <c r="P18" s="24">
        <v>68566</v>
      </c>
      <c r="Q18" s="21">
        <v>4</v>
      </c>
      <c r="R18" s="22">
        <v>7044</v>
      </c>
      <c r="S18" s="45">
        <v>0</v>
      </c>
      <c r="T18" s="24">
        <v>70</v>
      </c>
      <c r="U18" s="21">
        <v>19</v>
      </c>
      <c r="V18" s="22">
        <v>2452</v>
      </c>
      <c r="W18" s="23">
        <v>0</v>
      </c>
      <c r="X18" s="24">
        <v>0</v>
      </c>
      <c r="Y18" s="21">
        <v>0</v>
      </c>
      <c r="Z18" s="22">
        <v>0</v>
      </c>
      <c r="AA18" s="23">
        <v>281</v>
      </c>
      <c r="AB18" s="24">
        <v>47251</v>
      </c>
    </row>
    <row r="19" spans="1:28" s="6" customFormat="1" ht="16.5" customHeight="1">
      <c r="A19" s="19"/>
      <c r="B19" s="20" t="s">
        <v>10</v>
      </c>
      <c r="C19" s="23">
        <f t="shared" si="1"/>
        <v>24716</v>
      </c>
      <c r="D19" s="43">
        <f t="shared" si="1"/>
        <v>1849526</v>
      </c>
      <c r="E19" s="38">
        <v>11115</v>
      </c>
      <c r="F19" s="22">
        <v>833630</v>
      </c>
      <c r="G19" s="23">
        <v>432</v>
      </c>
      <c r="H19" s="24">
        <v>127755</v>
      </c>
      <c r="I19" s="21">
        <v>10064</v>
      </c>
      <c r="J19" s="22">
        <v>576978</v>
      </c>
      <c r="K19" s="23">
        <v>543</v>
      </c>
      <c r="L19" s="24">
        <v>78199</v>
      </c>
      <c r="M19" s="21">
        <v>122</v>
      </c>
      <c r="N19" s="22">
        <v>52580</v>
      </c>
      <c r="O19" s="23">
        <v>95</v>
      </c>
      <c r="P19" s="24">
        <v>41284</v>
      </c>
      <c r="Q19" s="21">
        <v>3</v>
      </c>
      <c r="R19" s="22">
        <v>5065</v>
      </c>
      <c r="S19" s="23">
        <v>7</v>
      </c>
      <c r="T19" s="24">
        <v>1066</v>
      </c>
      <c r="U19" s="46">
        <v>0</v>
      </c>
      <c r="V19" s="22">
        <v>11</v>
      </c>
      <c r="W19" s="23">
        <v>681</v>
      </c>
      <c r="X19" s="24">
        <v>20030</v>
      </c>
      <c r="Y19" s="46">
        <v>17</v>
      </c>
      <c r="Z19" s="22">
        <v>29039</v>
      </c>
      <c r="AA19" s="23">
        <v>1637</v>
      </c>
      <c r="AB19" s="24">
        <v>83889</v>
      </c>
    </row>
    <row r="20" spans="1:28" s="6" customFormat="1" ht="16.5" customHeight="1">
      <c r="A20" s="19"/>
      <c r="B20" s="20" t="s">
        <v>11</v>
      </c>
      <c r="C20" s="23">
        <f t="shared" si="1"/>
        <v>7683</v>
      </c>
      <c r="D20" s="43">
        <f t="shared" si="1"/>
        <v>1179493</v>
      </c>
      <c r="E20" s="38">
        <v>6251</v>
      </c>
      <c r="F20" s="22">
        <v>669248</v>
      </c>
      <c r="G20" s="23">
        <v>225</v>
      </c>
      <c r="H20" s="24">
        <v>107032</v>
      </c>
      <c r="I20" s="21">
        <v>477</v>
      </c>
      <c r="J20" s="22">
        <v>23930</v>
      </c>
      <c r="K20" s="23">
        <v>16</v>
      </c>
      <c r="L20" s="24">
        <v>1972</v>
      </c>
      <c r="M20" s="21">
        <v>229</v>
      </c>
      <c r="N20" s="22">
        <v>170939</v>
      </c>
      <c r="O20" s="23">
        <v>2</v>
      </c>
      <c r="P20" s="24">
        <v>889</v>
      </c>
      <c r="Q20" s="21">
        <v>1</v>
      </c>
      <c r="R20" s="22">
        <v>1448</v>
      </c>
      <c r="S20" s="23">
        <v>25</v>
      </c>
      <c r="T20" s="24">
        <v>4550</v>
      </c>
      <c r="U20" s="21">
        <v>0</v>
      </c>
      <c r="V20" s="22">
        <v>0</v>
      </c>
      <c r="W20" s="23">
        <v>0</v>
      </c>
      <c r="X20" s="24">
        <v>0</v>
      </c>
      <c r="Y20" s="21">
        <v>85</v>
      </c>
      <c r="Z20" s="22">
        <v>162938</v>
      </c>
      <c r="AA20" s="23">
        <v>372</v>
      </c>
      <c r="AB20" s="24">
        <v>36547</v>
      </c>
    </row>
    <row r="21" spans="1:28" s="6" customFormat="1" ht="16.5" customHeight="1">
      <c r="A21" s="25"/>
      <c r="B21" s="26" t="s">
        <v>12</v>
      </c>
      <c r="C21" s="31">
        <f t="shared" si="1"/>
        <v>5759</v>
      </c>
      <c r="D21" s="44">
        <f t="shared" si="1"/>
        <v>984950</v>
      </c>
      <c r="E21" s="39">
        <v>4963</v>
      </c>
      <c r="F21" s="34">
        <v>536364</v>
      </c>
      <c r="G21" s="31">
        <v>408</v>
      </c>
      <c r="H21" s="32">
        <v>226314</v>
      </c>
      <c r="I21" s="33">
        <v>0</v>
      </c>
      <c r="J21" s="34">
        <v>0</v>
      </c>
      <c r="K21" s="31">
        <v>5</v>
      </c>
      <c r="L21" s="32">
        <v>342</v>
      </c>
      <c r="M21" s="33">
        <v>210</v>
      </c>
      <c r="N21" s="34">
        <v>163842</v>
      </c>
      <c r="O21" s="31">
        <v>0</v>
      </c>
      <c r="P21" s="32">
        <v>0</v>
      </c>
      <c r="Q21" s="33">
        <v>2</v>
      </c>
      <c r="R21" s="34">
        <v>3011</v>
      </c>
      <c r="S21" s="31">
        <v>38</v>
      </c>
      <c r="T21" s="32">
        <v>6874</v>
      </c>
      <c r="U21" s="33">
        <v>0</v>
      </c>
      <c r="V21" s="34">
        <v>0</v>
      </c>
      <c r="W21" s="31">
        <v>0</v>
      </c>
      <c r="X21" s="32">
        <v>0</v>
      </c>
      <c r="Y21" s="55">
        <v>0</v>
      </c>
      <c r="Z21" s="34">
        <v>15</v>
      </c>
      <c r="AA21" s="31">
        <v>133</v>
      </c>
      <c r="AB21" s="32">
        <v>48188</v>
      </c>
    </row>
    <row r="22" s="6" customFormat="1" ht="16.5" customHeight="1">
      <c r="A22" s="6" t="s">
        <v>19</v>
      </c>
    </row>
    <row r="23" s="6" customFormat="1" ht="16.5" customHeight="1">
      <c r="A23" s="6" t="s">
        <v>20</v>
      </c>
    </row>
    <row r="24" s="1" customFormat="1" ht="15" customHeight="1"/>
    <row r="25" s="1" customFormat="1" ht="15" customHeight="1"/>
    <row r="26" ht="13.5">
      <c r="E26" s="4"/>
    </row>
  </sheetData>
  <sheetProtection/>
  <mergeCells count="14">
    <mergeCell ref="A4:B5"/>
    <mergeCell ref="C4:D4"/>
    <mergeCell ref="E4:F4"/>
    <mergeCell ref="G4:H4"/>
    <mergeCell ref="I4:J4"/>
    <mergeCell ref="K4:L4"/>
    <mergeCell ref="M4:N4"/>
    <mergeCell ref="O4:P4"/>
    <mergeCell ref="Y4:Z4"/>
    <mergeCell ref="AA4:AB4"/>
    <mergeCell ref="Q4:R4"/>
    <mergeCell ref="S4:T4"/>
    <mergeCell ref="U4:V4"/>
    <mergeCell ref="W4:X4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2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7.59765625" style="3" customWidth="1"/>
    <col min="2" max="2" width="5.5" style="3" customWidth="1"/>
    <col min="3" max="3" width="10.5" style="3" bestFit="1" customWidth="1"/>
    <col min="4" max="4" width="13.8984375" style="3" bestFit="1" customWidth="1"/>
    <col min="5" max="5" width="8.59765625" style="3" customWidth="1"/>
    <col min="6" max="6" width="11.8984375" style="3" customWidth="1"/>
    <col min="7" max="7" width="8.59765625" style="3" customWidth="1"/>
    <col min="8" max="8" width="11.8984375" style="3" customWidth="1"/>
    <col min="9" max="9" width="8.59765625" style="3" customWidth="1"/>
    <col min="10" max="10" width="11.8984375" style="3" customWidth="1"/>
    <col min="11" max="11" width="8.59765625" style="3" customWidth="1"/>
    <col min="12" max="12" width="11.8984375" style="3" customWidth="1"/>
    <col min="13" max="13" width="8.59765625" style="3" customWidth="1"/>
    <col min="14" max="14" width="11.8984375" style="3" customWidth="1"/>
    <col min="15" max="15" width="8.59765625" style="3" customWidth="1"/>
    <col min="16" max="16" width="11.8984375" style="3" customWidth="1"/>
    <col min="17" max="17" width="8.59765625" style="3" customWidth="1"/>
    <col min="18" max="18" width="11.8984375" style="3" customWidth="1"/>
    <col min="19" max="19" width="8.59765625" style="3" customWidth="1"/>
    <col min="20" max="20" width="11.8984375" style="3" customWidth="1"/>
    <col min="21" max="21" width="8.59765625" style="3" customWidth="1"/>
    <col min="22" max="22" width="11.8984375" style="3" customWidth="1"/>
    <col min="23" max="23" width="8.59765625" style="3" customWidth="1"/>
    <col min="24" max="24" width="11.8984375" style="3" customWidth="1"/>
    <col min="25" max="25" width="8.59765625" style="3" customWidth="1"/>
    <col min="26" max="26" width="11.8984375" style="3" customWidth="1"/>
    <col min="27" max="27" width="8.59765625" style="3" customWidth="1"/>
    <col min="28" max="28" width="11.8984375" style="3" customWidth="1"/>
    <col min="29" max="16384" width="9" style="3" customWidth="1"/>
  </cols>
  <sheetData>
    <row r="1" s="2" customFormat="1" ht="16.5" customHeight="1">
      <c r="A1" s="5" t="s">
        <v>85</v>
      </c>
    </row>
    <row r="2" s="2" customFormat="1" ht="13.5" customHeight="1"/>
    <row r="3" s="6" customFormat="1" ht="16.5" customHeight="1">
      <c r="A3" s="6" t="s">
        <v>31</v>
      </c>
    </row>
    <row r="4" spans="1:28" s="6" customFormat="1" ht="18.75" customHeight="1">
      <c r="A4" s="120" t="s">
        <v>18</v>
      </c>
      <c r="B4" s="121"/>
      <c r="C4" s="124" t="s">
        <v>0</v>
      </c>
      <c r="D4" s="125"/>
      <c r="E4" s="126" t="s">
        <v>14</v>
      </c>
      <c r="F4" s="113"/>
      <c r="G4" s="112" t="s">
        <v>21</v>
      </c>
      <c r="H4" s="113"/>
      <c r="I4" s="112" t="s">
        <v>22</v>
      </c>
      <c r="J4" s="113"/>
      <c r="K4" s="112" t="s">
        <v>23</v>
      </c>
      <c r="L4" s="113"/>
      <c r="M4" s="112" t="s">
        <v>24</v>
      </c>
      <c r="N4" s="113"/>
      <c r="O4" s="112" t="s">
        <v>15</v>
      </c>
      <c r="P4" s="113"/>
      <c r="Q4" s="112" t="s">
        <v>25</v>
      </c>
      <c r="R4" s="113"/>
      <c r="S4" s="112" t="s">
        <v>26</v>
      </c>
      <c r="T4" s="113"/>
      <c r="U4" s="112" t="s">
        <v>27</v>
      </c>
      <c r="V4" s="113"/>
      <c r="W4" s="112" t="s">
        <v>28</v>
      </c>
      <c r="X4" s="113"/>
      <c r="Y4" s="112" t="s">
        <v>29</v>
      </c>
      <c r="Z4" s="113"/>
      <c r="AA4" s="112" t="s">
        <v>30</v>
      </c>
      <c r="AB4" s="113"/>
    </row>
    <row r="5" spans="1:28" s="6" customFormat="1" ht="18.75" customHeight="1">
      <c r="A5" s="122"/>
      <c r="B5" s="123"/>
      <c r="C5" s="7" t="s">
        <v>16</v>
      </c>
      <c r="D5" s="40" t="s">
        <v>17</v>
      </c>
      <c r="E5" s="35" t="s">
        <v>16</v>
      </c>
      <c r="F5" s="10" t="s">
        <v>17</v>
      </c>
      <c r="G5" s="7" t="s">
        <v>16</v>
      </c>
      <c r="H5" s="8" t="s">
        <v>17</v>
      </c>
      <c r="I5" s="9" t="s">
        <v>16</v>
      </c>
      <c r="J5" s="10" t="s">
        <v>17</v>
      </c>
      <c r="K5" s="7" t="s">
        <v>16</v>
      </c>
      <c r="L5" s="8" t="s">
        <v>17</v>
      </c>
      <c r="M5" s="9" t="s">
        <v>16</v>
      </c>
      <c r="N5" s="10" t="s">
        <v>17</v>
      </c>
      <c r="O5" s="7" t="s">
        <v>16</v>
      </c>
      <c r="P5" s="8" t="s">
        <v>17</v>
      </c>
      <c r="Q5" s="9" t="s">
        <v>16</v>
      </c>
      <c r="R5" s="10" t="s">
        <v>17</v>
      </c>
      <c r="S5" s="7" t="s">
        <v>16</v>
      </c>
      <c r="T5" s="8" t="s">
        <v>17</v>
      </c>
      <c r="U5" s="9" t="s">
        <v>16</v>
      </c>
      <c r="V5" s="10" t="s">
        <v>17</v>
      </c>
      <c r="W5" s="7" t="s">
        <v>16</v>
      </c>
      <c r="X5" s="8" t="s">
        <v>17</v>
      </c>
      <c r="Y5" s="9" t="s">
        <v>16</v>
      </c>
      <c r="Z5" s="10" t="s">
        <v>17</v>
      </c>
      <c r="AA5" s="7" t="s">
        <v>16</v>
      </c>
      <c r="AB5" s="8" t="s">
        <v>17</v>
      </c>
    </row>
    <row r="6" spans="1:28" s="6" customFormat="1" ht="18.75" customHeight="1">
      <c r="A6" s="11" t="s">
        <v>71</v>
      </c>
      <c r="B6" s="12" t="s">
        <v>13</v>
      </c>
      <c r="C6" s="27">
        <v>114577</v>
      </c>
      <c r="D6" s="41">
        <v>11911835</v>
      </c>
      <c r="E6" s="36">
        <v>53813</v>
      </c>
      <c r="F6" s="30">
        <v>3896698</v>
      </c>
      <c r="G6" s="27">
        <v>3869</v>
      </c>
      <c r="H6" s="28">
        <v>966494</v>
      </c>
      <c r="I6" s="29">
        <v>28526</v>
      </c>
      <c r="J6" s="30">
        <v>1985504</v>
      </c>
      <c r="K6" s="27">
        <v>3602</v>
      </c>
      <c r="L6" s="28">
        <v>587516</v>
      </c>
      <c r="M6" s="29">
        <v>1345</v>
      </c>
      <c r="N6" s="30">
        <v>705161</v>
      </c>
      <c r="O6" s="27">
        <v>1579</v>
      </c>
      <c r="P6" s="28">
        <v>856075</v>
      </c>
      <c r="Q6" s="29">
        <v>118</v>
      </c>
      <c r="R6" s="30">
        <v>212500</v>
      </c>
      <c r="S6" s="27">
        <v>741</v>
      </c>
      <c r="T6" s="28">
        <v>140828</v>
      </c>
      <c r="U6" s="29">
        <v>3364</v>
      </c>
      <c r="V6" s="30">
        <v>78773</v>
      </c>
      <c r="W6" s="27">
        <v>2280</v>
      </c>
      <c r="X6" s="28">
        <v>43754</v>
      </c>
      <c r="Y6" s="29">
        <v>251</v>
      </c>
      <c r="Z6" s="30">
        <v>257030</v>
      </c>
      <c r="AA6" s="27">
        <v>15089</v>
      </c>
      <c r="AB6" s="28">
        <v>2181502</v>
      </c>
    </row>
    <row r="7" spans="1:28" s="6" customFormat="1" ht="18.75" customHeight="1">
      <c r="A7" s="19" t="s">
        <v>70</v>
      </c>
      <c r="B7" s="48" t="s">
        <v>13</v>
      </c>
      <c r="C7" s="23">
        <v>137948</v>
      </c>
      <c r="D7" s="43">
        <v>14562957</v>
      </c>
      <c r="E7" s="38">
        <v>55786</v>
      </c>
      <c r="F7" s="22">
        <v>4489157</v>
      </c>
      <c r="G7" s="23">
        <v>3310</v>
      </c>
      <c r="H7" s="24">
        <v>992926</v>
      </c>
      <c r="I7" s="21">
        <v>27899</v>
      </c>
      <c r="J7" s="22">
        <v>2081572</v>
      </c>
      <c r="K7" s="23">
        <v>3869</v>
      </c>
      <c r="L7" s="24">
        <v>893617</v>
      </c>
      <c r="M7" s="21">
        <v>1490</v>
      </c>
      <c r="N7" s="22">
        <v>754333</v>
      </c>
      <c r="O7" s="23">
        <v>1487</v>
      </c>
      <c r="P7" s="24">
        <v>916744</v>
      </c>
      <c r="Q7" s="21">
        <v>108</v>
      </c>
      <c r="R7" s="22">
        <v>195023</v>
      </c>
      <c r="S7" s="23">
        <v>725</v>
      </c>
      <c r="T7" s="24">
        <v>89569</v>
      </c>
      <c r="U7" s="21">
        <v>1891</v>
      </c>
      <c r="V7" s="22">
        <v>144705</v>
      </c>
      <c r="W7" s="23">
        <v>16112</v>
      </c>
      <c r="X7" s="24">
        <v>382795</v>
      </c>
      <c r="Y7" s="46">
        <v>360</v>
      </c>
      <c r="Z7" s="22">
        <v>326991</v>
      </c>
      <c r="AA7" s="23">
        <v>24912</v>
      </c>
      <c r="AB7" s="24">
        <v>3295525</v>
      </c>
    </row>
    <row r="8" spans="1:28" s="6" customFormat="1" ht="18.75" customHeight="1" thickBot="1">
      <c r="A8" s="13" t="s">
        <v>69</v>
      </c>
      <c r="B8" s="14" t="s">
        <v>13</v>
      </c>
      <c r="C8" s="17">
        <v>107569</v>
      </c>
      <c r="D8" s="42">
        <v>12723109</v>
      </c>
      <c r="E8" s="49">
        <f>SUM(E9:E20)</f>
        <v>50408</v>
      </c>
      <c r="F8" s="16">
        <f>SUM(F9:F20)</f>
        <v>4285036</v>
      </c>
      <c r="G8" s="17">
        <f>SUM(G9:G20)</f>
        <v>3511</v>
      </c>
      <c r="H8" s="18">
        <f>SUM(H9:H20)</f>
        <v>1040834</v>
      </c>
      <c r="I8" s="17">
        <f aca="true" t="shared" si="0" ref="I8:Z8">SUM(I9:I20)</f>
        <v>34098</v>
      </c>
      <c r="J8" s="18">
        <f t="shared" si="0"/>
        <v>2522079</v>
      </c>
      <c r="K8" s="17">
        <f t="shared" si="0"/>
        <v>4992</v>
      </c>
      <c r="L8" s="18">
        <f t="shared" si="0"/>
        <v>660467</v>
      </c>
      <c r="M8" s="17">
        <f t="shared" si="0"/>
        <v>1176</v>
      </c>
      <c r="N8" s="18">
        <f t="shared" si="0"/>
        <v>718806</v>
      </c>
      <c r="O8" s="17">
        <f t="shared" si="0"/>
        <v>1422</v>
      </c>
      <c r="P8" s="18">
        <f t="shared" si="0"/>
        <v>853981</v>
      </c>
      <c r="Q8" s="17">
        <f t="shared" si="0"/>
        <v>103</v>
      </c>
      <c r="R8" s="18">
        <f t="shared" si="0"/>
        <v>171971</v>
      </c>
      <c r="S8" s="17">
        <f t="shared" si="0"/>
        <v>482</v>
      </c>
      <c r="T8" s="18">
        <f t="shared" si="0"/>
        <v>114497</v>
      </c>
      <c r="U8" s="51">
        <f t="shared" si="0"/>
        <v>794</v>
      </c>
      <c r="V8" s="18">
        <f t="shared" si="0"/>
        <v>72318</v>
      </c>
      <c r="W8" s="17">
        <f t="shared" si="0"/>
        <v>52</v>
      </c>
      <c r="X8" s="18">
        <f t="shared" si="0"/>
        <v>2180</v>
      </c>
      <c r="Y8" s="17">
        <f t="shared" si="0"/>
        <v>250</v>
      </c>
      <c r="Z8" s="18">
        <f t="shared" si="0"/>
        <v>366073</v>
      </c>
      <c r="AA8" s="17">
        <f>SUM(AA9:AA20)</f>
        <v>10282</v>
      </c>
      <c r="AB8" s="18">
        <f>SUM(AB9:AB20)</f>
        <v>1914866</v>
      </c>
    </row>
    <row r="9" spans="1:28" s="6" customFormat="1" ht="16.5" customHeight="1" thickTop="1">
      <c r="A9" s="19" t="s">
        <v>69</v>
      </c>
      <c r="B9" s="20" t="s">
        <v>1</v>
      </c>
      <c r="C9" s="23">
        <f aca="true" t="shared" si="1" ref="C9:D20">E9+G9+I9+K9+M9+O9+Q9+S9+U9+W9+Y9+AA9</f>
        <v>5547</v>
      </c>
      <c r="D9" s="43">
        <f t="shared" si="1"/>
        <v>826422</v>
      </c>
      <c r="E9" s="38">
        <v>4163</v>
      </c>
      <c r="F9" s="22">
        <v>448838</v>
      </c>
      <c r="G9" s="23">
        <v>446</v>
      </c>
      <c r="H9" s="24">
        <v>150461</v>
      </c>
      <c r="I9" s="21">
        <v>0</v>
      </c>
      <c r="J9" s="22">
        <v>0</v>
      </c>
      <c r="K9" s="23">
        <v>31</v>
      </c>
      <c r="L9" s="24">
        <v>3154</v>
      </c>
      <c r="M9" s="21">
        <v>62</v>
      </c>
      <c r="N9" s="22">
        <v>41824</v>
      </c>
      <c r="O9" s="45">
        <v>0</v>
      </c>
      <c r="P9" s="24">
        <v>25</v>
      </c>
      <c r="Q9" s="21">
        <v>7</v>
      </c>
      <c r="R9" s="22">
        <v>11512</v>
      </c>
      <c r="S9" s="23">
        <v>176</v>
      </c>
      <c r="T9" s="24">
        <v>37630</v>
      </c>
      <c r="U9" s="21">
        <v>0</v>
      </c>
      <c r="V9" s="22">
        <v>0</v>
      </c>
      <c r="W9" s="23">
        <v>0</v>
      </c>
      <c r="X9" s="24">
        <v>0</v>
      </c>
      <c r="Y9" s="21">
        <v>0</v>
      </c>
      <c r="Z9" s="22">
        <v>0</v>
      </c>
      <c r="AA9" s="23">
        <v>662</v>
      </c>
      <c r="AB9" s="24">
        <v>132978</v>
      </c>
    </row>
    <row r="10" spans="1:28" s="6" customFormat="1" ht="16.5" customHeight="1">
      <c r="A10" s="19"/>
      <c r="B10" s="20" t="s">
        <v>2</v>
      </c>
      <c r="C10" s="23">
        <f t="shared" si="1"/>
        <v>5349</v>
      </c>
      <c r="D10" s="43">
        <f t="shared" si="1"/>
        <v>680523</v>
      </c>
      <c r="E10" s="38">
        <v>3707</v>
      </c>
      <c r="F10" s="22">
        <v>366131</v>
      </c>
      <c r="G10" s="23">
        <v>168</v>
      </c>
      <c r="H10" s="24">
        <v>45162</v>
      </c>
      <c r="I10" s="21">
        <v>0</v>
      </c>
      <c r="J10" s="22">
        <v>0</v>
      </c>
      <c r="K10" s="23">
        <v>28</v>
      </c>
      <c r="L10" s="24">
        <v>2974</v>
      </c>
      <c r="M10" s="21">
        <v>38</v>
      </c>
      <c r="N10" s="22">
        <v>13047</v>
      </c>
      <c r="O10" s="23">
        <v>0</v>
      </c>
      <c r="P10" s="24">
        <v>0</v>
      </c>
      <c r="Q10" s="21">
        <v>8</v>
      </c>
      <c r="R10" s="22">
        <v>13137</v>
      </c>
      <c r="S10" s="23">
        <v>168</v>
      </c>
      <c r="T10" s="24">
        <v>34900</v>
      </c>
      <c r="U10" s="21">
        <v>0</v>
      </c>
      <c r="V10" s="22">
        <v>0</v>
      </c>
      <c r="W10" s="23">
        <v>0</v>
      </c>
      <c r="X10" s="24">
        <v>0</v>
      </c>
      <c r="Y10" s="21">
        <v>0</v>
      </c>
      <c r="Z10" s="22">
        <v>0</v>
      </c>
      <c r="AA10" s="23">
        <v>1232</v>
      </c>
      <c r="AB10" s="24">
        <v>205172</v>
      </c>
    </row>
    <row r="11" spans="1:28" s="6" customFormat="1" ht="16.5" customHeight="1">
      <c r="A11" s="19"/>
      <c r="B11" s="20" t="s">
        <v>3</v>
      </c>
      <c r="C11" s="23">
        <f t="shared" si="1"/>
        <v>10461</v>
      </c>
      <c r="D11" s="43">
        <f t="shared" si="1"/>
        <v>1535844</v>
      </c>
      <c r="E11" s="38">
        <v>5910</v>
      </c>
      <c r="F11" s="22">
        <v>757140</v>
      </c>
      <c r="G11" s="23">
        <v>152</v>
      </c>
      <c r="H11" s="24">
        <v>41123</v>
      </c>
      <c r="I11" s="21">
        <v>0</v>
      </c>
      <c r="J11" s="22">
        <v>0</v>
      </c>
      <c r="K11" s="23">
        <v>31</v>
      </c>
      <c r="L11" s="24">
        <v>3458</v>
      </c>
      <c r="M11" s="21">
        <v>78</v>
      </c>
      <c r="N11" s="22">
        <v>35707</v>
      </c>
      <c r="O11" s="45">
        <v>0</v>
      </c>
      <c r="P11" s="24">
        <v>3</v>
      </c>
      <c r="Q11" s="21">
        <v>20</v>
      </c>
      <c r="R11" s="22">
        <v>34882</v>
      </c>
      <c r="S11" s="23">
        <v>80</v>
      </c>
      <c r="T11" s="24">
        <v>21238</v>
      </c>
      <c r="U11" s="21">
        <v>0</v>
      </c>
      <c r="V11" s="22">
        <v>0</v>
      </c>
      <c r="W11" s="23">
        <v>0</v>
      </c>
      <c r="X11" s="24">
        <v>0</v>
      </c>
      <c r="Y11" s="21">
        <v>0</v>
      </c>
      <c r="Z11" s="22">
        <v>0</v>
      </c>
      <c r="AA11" s="23">
        <v>4190</v>
      </c>
      <c r="AB11" s="24">
        <v>642293</v>
      </c>
    </row>
    <row r="12" spans="1:28" s="6" customFormat="1" ht="16.5" customHeight="1">
      <c r="A12" s="19"/>
      <c r="B12" s="20" t="s">
        <v>4</v>
      </c>
      <c r="C12" s="23">
        <f t="shared" si="1"/>
        <v>3478</v>
      </c>
      <c r="D12" s="43">
        <f t="shared" si="1"/>
        <v>551317</v>
      </c>
      <c r="E12" s="38">
        <v>2402</v>
      </c>
      <c r="F12" s="22">
        <v>284768</v>
      </c>
      <c r="G12" s="23">
        <v>317</v>
      </c>
      <c r="H12" s="24">
        <v>81460</v>
      </c>
      <c r="I12" s="21">
        <v>0</v>
      </c>
      <c r="J12" s="22">
        <v>0</v>
      </c>
      <c r="K12" s="23">
        <v>18</v>
      </c>
      <c r="L12" s="24">
        <v>2034</v>
      </c>
      <c r="M12" s="21">
        <v>125</v>
      </c>
      <c r="N12" s="22">
        <v>44265</v>
      </c>
      <c r="O12" s="23">
        <v>3</v>
      </c>
      <c r="P12" s="24">
        <v>1742</v>
      </c>
      <c r="Q12" s="21">
        <v>18</v>
      </c>
      <c r="R12" s="22">
        <v>23649</v>
      </c>
      <c r="S12" s="23">
        <v>11</v>
      </c>
      <c r="T12" s="24">
        <v>3824</v>
      </c>
      <c r="U12" s="21">
        <v>0</v>
      </c>
      <c r="V12" s="22">
        <v>0</v>
      </c>
      <c r="W12" s="23">
        <v>0</v>
      </c>
      <c r="X12" s="24">
        <v>0</v>
      </c>
      <c r="Y12" s="21">
        <v>0</v>
      </c>
      <c r="Z12" s="22">
        <v>0</v>
      </c>
      <c r="AA12" s="23">
        <v>584</v>
      </c>
      <c r="AB12" s="24">
        <v>109575</v>
      </c>
    </row>
    <row r="13" spans="1:28" s="6" customFormat="1" ht="16.5" customHeight="1">
      <c r="A13" s="19"/>
      <c r="B13" s="20" t="s">
        <v>5</v>
      </c>
      <c r="C13" s="23">
        <f t="shared" si="1"/>
        <v>4397</v>
      </c>
      <c r="D13" s="43">
        <f t="shared" si="1"/>
        <v>554790</v>
      </c>
      <c r="E13" s="38">
        <v>3163</v>
      </c>
      <c r="F13" s="22">
        <v>283271</v>
      </c>
      <c r="G13" s="23">
        <v>608</v>
      </c>
      <c r="H13" s="24">
        <v>136478</v>
      </c>
      <c r="I13" s="21">
        <v>58</v>
      </c>
      <c r="J13" s="22">
        <v>2363</v>
      </c>
      <c r="K13" s="23">
        <v>16</v>
      </c>
      <c r="L13" s="24">
        <v>1600</v>
      </c>
      <c r="M13" s="21">
        <v>64</v>
      </c>
      <c r="N13" s="22">
        <v>19299</v>
      </c>
      <c r="O13" s="23">
        <v>58</v>
      </c>
      <c r="P13" s="24">
        <v>17579</v>
      </c>
      <c r="Q13" s="21">
        <v>8</v>
      </c>
      <c r="R13" s="22">
        <v>12072</v>
      </c>
      <c r="S13" s="23">
        <v>12</v>
      </c>
      <c r="T13" s="24">
        <v>3186</v>
      </c>
      <c r="U13" s="21">
        <v>0</v>
      </c>
      <c r="V13" s="22">
        <v>0</v>
      </c>
      <c r="W13" s="23">
        <v>0</v>
      </c>
      <c r="X13" s="24">
        <v>0</v>
      </c>
      <c r="Y13" s="21">
        <v>0</v>
      </c>
      <c r="Z13" s="22">
        <v>0</v>
      </c>
      <c r="AA13" s="23">
        <v>410</v>
      </c>
      <c r="AB13" s="24">
        <v>78942</v>
      </c>
    </row>
    <row r="14" spans="1:28" s="6" customFormat="1" ht="16.5" customHeight="1">
      <c r="A14" s="19"/>
      <c r="B14" s="20" t="s">
        <v>6</v>
      </c>
      <c r="C14" s="23">
        <f t="shared" si="1"/>
        <v>1476</v>
      </c>
      <c r="D14" s="43">
        <f t="shared" si="1"/>
        <v>801228</v>
      </c>
      <c r="E14" s="38">
        <v>160</v>
      </c>
      <c r="F14" s="22">
        <v>14399</v>
      </c>
      <c r="G14" s="23">
        <v>53</v>
      </c>
      <c r="H14" s="24">
        <v>9565</v>
      </c>
      <c r="I14" s="21">
        <v>125</v>
      </c>
      <c r="J14" s="22">
        <v>5136</v>
      </c>
      <c r="K14" s="23">
        <v>1</v>
      </c>
      <c r="L14" s="24">
        <v>136</v>
      </c>
      <c r="M14" s="21">
        <v>42</v>
      </c>
      <c r="N14" s="22">
        <v>15252</v>
      </c>
      <c r="O14" s="23">
        <v>646</v>
      </c>
      <c r="P14" s="24">
        <v>521318</v>
      </c>
      <c r="Q14" s="21">
        <v>5</v>
      </c>
      <c r="R14" s="22">
        <v>9830</v>
      </c>
      <c r="S14" s="23">
        <v>1</v>
      </c>
      <c r="T14" s="24">
        <v>244</v>
      </c>
      <c r="U14" s="21">
        <v>0</v>
      </c>
      <c r="V14" s="22">
        <v>0</v>
      </c>
      <c r="W14" s="23">
        <v>0</v>
      </c>
      <c r="X14" s="24">
        <v>0</v>
      </c>
      <c r="Y14" s="21">
        <v>0</v>
      </c>
      <c r="Z14" s="22">
        <v>0</v>
      </c>
      <c r="AA14" s="23">
        <v>443</v>
      </c>
      <c r="AB14" s="24">
        <v>225348</v>
      </c>
    </row>
    <row r="15" spans="1:28" s="6" customFormat="1" ht="16.5" customHeight="1">
      <c r="A15" s="19"/>
      <c r="B15" s="20" t="s">
        <v>7</v>
      </c>
      <c r="C15" s="23">
        <f t="shared" si="1"/>
        <v>1296</v>
      </c>
      <c r="D15" s="43">
        <f t="shared" si="1"/>
        <v>663641</v>
      </c>
      <c r="E15" s="38">
        <v>15</v>
      </c>
      <c r="F15" s="22">
        <v>667</v>
      </c>
      <c r="G15" s="23">
        <v>31</v>
      </c>
      <c r="H15" s="24">
        <v>6366</v>
      </c>
      <c r="I15" s="21">
        <v>611</v>
      </c>
      <c r="J15" s="22">
        <v>319186</v>
      </c>
      <c r="K15" s="45">
        <v>116</v>
      </c>
      <c r="L15" s="24">
        <v>20145</v>
      </c>
      <c r="M15" s="21">
        <v>31</v>
      </c>
      <c r="N15" s="22">
        <v>13346</v>
      </c>
      <c r="O15" s="23">
        <v>266</v>
      </c>
      <c r="P15" s="24">
        <v>166593</v>
      </c>
      <c r="Q15" s="21">
        <v>8</v>
      </c>
      <c r="R15" s="22">
        <v>15617</v>
      </c>
      <c r="S15" s="45">
        <v>0</v>
      </c>
      <c r="T15" s="24">
        <v>52</v>
      </c>
      <c r="U15" s="50">
        <v>0</v>
      </c>
      <c r="V15" s="22">
        <v>66</v>
      </c>
      <c r="W15" s="23">
        <v>0</v>
      </c>
      <c r="X15" s="24">
        <v>0</v>
      </c>
      <c r="Y15" s="21">
        <v>0</v>
      </c>
      <c r="Z15" s="22">
        <v>0</v>
      </c>
      <c r="AA15" s="23">
        <v>218</v>
      </c>
      <c r="AB15" s="24">
        <v>121603</v>
      </c>
    </row>
    <row r="16" spans="1:28" s="6" customFormat="1" ht="16.5" customHeight="1">
      <c r="A16" s="19"/>
      <c r="B16" s="20" t="s">
        <v>8</v>
      </c>
      <c r="C16" s="23">
        <f t="shared" si="1"/>
        <v>7085</v>
      </c>
      <c r="D16" s="43">
        <f t="shared" si="1"/>
        <v>978908</v>
      </c>
      <c r="E16" s="38">
        <v>11</v>
      </c>
      <c r="F16" s="22">
        <v>524</v>
      </c>
      <c r="G16" s="23">
        <v>14</v>
      </c>
      <c r="H16" s="24">
        <v>2426</v>
      </c>
      <c r="I16" s="21">
        <v>4697</v>
      </c>
      <c r="J16" s="22">
        <v>569097</v>
      </c>
      <c r="K16" s="23">
        <v>1834</v>
      </c>
      <c r="L16" s="24">
        <v>275181</v>
      </c>
      <c r="M16" s="21">
        <v>36</v>
      </c>
      <c r="N16" s="22">
        <v>17717</v>
      </c>
      <c r="O16" s="23">
        <v>69</v>
      </c>
      <c r="P16" s="24">
        <v>26487</v>
      </c>
      <c r="Q16" s="21">
        <v>6</v>
      </c>
      <c r="R16" s="22">
        <v>11553</v>
      </c>
      <c r="S16" s="45">
        <v>0</v>
      </c>
      <c r="T16" s="24">
        <v>148</v>
      </c>
      <c r="U16" s="21">
        <v>0</v>
      </c>
      <c r="V16" s="22">
        <v>0</v>
      </c>
      <c r="W16" s="23">
        <v>0</v>
      </c>
      <c r="X16" s="24">
        <v>0</v>
      </c>
      <c r="Y16" s="21">
        <v>0</v>
      </c>
      <c r="Z16" s="22">
        <v>0</v>
      </c>
      <c r="AA16" s="23">
        <v>418</v>
      </c>
      <c r="AB16" s="24">
        <v>75775</v>
      </c>
    </row>
    <row r="17" spans="1:28" s="6" customFormat="1" ht="16.5" customHeight="1">
      <c r="A17" s="19"/>
      <c r="B17" s="20" t="s">
        <v>9</v>
      </c>
      <c r="C17" s="23">
        <f t="shared" si="1"/>
        <v>29882</v>
      </c>
      <c r="D17" s="43">
        <f t="shared" si="1"/>
        <v>1973295</v>
      </c>
      <c r="E17" s="38">
        <v>12577</v>
      </c>
      <c r="F17" s="22">
        <v>587649</v>
      </c>
      <c r="G17" s="23">
        <v>585</v>
      </c>
      <c r="H17" s="24">
        <v>120845</v>
      </c>
      <c r="I17" s="21">
        <v>13645</v>
      </c>
      <c r="J17" s="22">
        <v>852448</v>
      </c>
      <c r="K17" s="23">
        <v>1329</v>
      </c>
      <c r="L17" s="24">
        <v>179666</v>
      </c>
      <c r="M17" s="21">
        <v>62</v>
      </c>
      <c r="N17" s="22">
        <v>19434</v>
      </c>
      <c r="O17" s="23">
        <v>217</v>
      </c>
      <c r="P17" s="24">
        <v>69564</v>
      </c>
      <c r="Q17" s="21">
        <v>5</v>
      </c>
      <c r="R17" s="22">
        <v>7930</v>
      </c>
      <c r="S17" s="23">
        <v>2</v>
      </c>
      <c r="T17" s="24">
        <v>666</v>
      </c>
      <c r="U17" s="21">
        <v>712</v>
      </c>
      <c r="V17" s="22">
        <v>68675</v>
      </c>
      <c r="W17" s="23">
        <v>0</v>
      </c>
      <c r="X17" s="24">
        <v>0</v>
      </c>
      <c r="Y17" s="21">
        <v>0</v>
      </c>
      <c r="Z17" s="22">
        <v>0</v>
      </c>
      <c r="AA17" s="23">
        <v>748</v>
      </c>
      <c r="AB17" s="24">
        <v>66418</v>
      </c>
    </row>
    <row r="18" spans="1:28" s="6" customFormat="1" ht="16.5" customHeight="1">
      <c r="A18" s="19"/>
      <c r="B18" s="20" t="s">
        <v>10</v>
      </c>
      <c r="C18" s="23">
        <f t="shared" si="1"/>
        <v>22741</v>
      </c>
      <c r="D18" s="43">
        <f t="shared" si="1"/>
        <v>1689703</v>
      </c>
      <c r="E18" s="38">
        <v>8110</v>
      </c>
      <c r="F18" s="22">
        <v>558629</v>
      </c>
      <c r="G18" s="23">
        <v>506</v>
      </c>
      <c r="H18" s="24">
        <v>178958</v>
      </c>
      <c r="I18" s="21">
        <v>11913</v>
      </c>
      <c r="J18" s="22">
        <v>632050</v>
      </c>
      <c r="K18" s="23">
        <v>1322</v>
      </c>
      <c r="L18" s="24">
        <v>127247</v>
      </c>
      <c r="M18" s="21">
        <v>151</v>
      </c>
      <c r="N18" s="22">
        <v>72511</v>
      </c>
      <c r="O18" s="23">
        <v>160</v>
      </c>
      <c r="P18" s="24">
        <v>49821</v>
      </c>
      <c r="Q18" s="21">
        <v>5</v>
      </c>
      <c r="R18" s="22">
        <v>11467</v>
      </c>
      <c r="S18" s="23">
        <v>10</v>
      </c>
      <c r="T18" s="24">
        <v>2836</v>
      </c>
      <c r="U18" s="21">
        <v>82</v>
      </c>
      <c r="V18" s="22">
        <v>3577</v>
      </c>
      <c r="W18" s="23">
        <v>49</v>
      </c>
      <c r="X18" s="24">
        <v>1135</v>
      </c>
      <c r="Y18" s="46">
        <v>0</v>
      </c>
      <c r="Z18" s="22">
        <v>277</v>
      </c>
      <c r="AA18" s="23">
        <v>433</v>
      </c>
      <c r="AB18" s="24">
        <v>51195</v>
      </c>
    </row>
    <row r="19" spans="1:28" s="6" customFormat="1" ht="16.5" customHeight="1">
      <c r="A19" s="19"/>
      <c r="B19" s="20" t="s">
        <v>11</v>
      </c>
      <c r="C19" s="23">
        <f t="shared" si="1"/>
        <v>9648</v>
      </c>
      <c r="D19" s="43">
        <f t="shared" si="1"/>
        <v>1429308</v>
      </c>
      <c r="E19" s="38">
        <v>5163</v>
      </c>
      <c r="F19" s="22">
        <v>506973</v>
      </c>
      <c r="G19" s="23">
        <v>202</v>
      </c>
      <c r="H19" s="24">
        <v>93407</v>
      </c>
      <c r="I19" s="21">
        <v>3049</v>
      </c>
      <c r="J19" s="22">
        <v>141799</v>
      </c>
      <c r="K19" s="23">
        <v>220</v>
      </c>
      <c r="L19" s="24">
        <v>40444</v>
      </c>
      <c r="M19" s="21">
        <v>186</v>
      </c>
      <c r="N19" s="22">
        <v>182640</v>
      </c>
      <c r="O19" s="23">
        <v>3</v>
      </c>
      <c r="P19" s="24">
        <v>848</v>
      </c>
      <c r="Q19" s="21">
        <v>1</v>
      </c>
      <c r="R19" s="22">
        <v>3193</v>
      </c>
      <c r="S19" s="23">
        <v>2</v>
      </c>
      <c r="T19" s="24">
        <v>1101</v>
      </c>
      <c r="U19" s="21">
        <v>0</v>
      </c>
      <c r="V19" s="22">
        <v>0</v>
      </c>
      <c r="W19" s="23">
        <v>3</v>
      </c>
      <c r="X19" s="24">
        <v>1045</v>
      </c>
      <c r="Y19" s="21">
        <v>250</v>
      </c>
      <c r="Z19" s="22">
        <v>365796</v>
      </c>
      <c r="AA19" s="23">
        <v>569</v>
      </c>
      <c r="AB19" s="24">
        <v>92062</v>
      </c>
    </row>
    <row r="20" spans="1:28" s="6" customFormat="1" ht="16.5" customHeight="1">
      <c r="A20" s="25"/>
      <c r="B20" s="26" t="s">
        <v>12</v>
      </c>
      <c r="C20" s="31">
        <f t="shared" si="1"/>
        <v>6210</v>
      </c>
      <c r="D20" s="44">
        <f t="shared" si="1"/>
        <v>1038129</v>
      </c>
      <c r="E20" s="39">
        <v>5027</v>
      </c>
      <c r="F20" s="34">
        <v>476047</v>
      </c>
      <c r="G20" s="31">
        <v>429</v>
      </c>
      <c r="H20" s="32">
        <v>174583</v>
      </c>
      <c r="I20" s="33">
        <v>0</v>
      </c>
      <c r="J20" s="34">
        <v>0</v>
      </c>
      <c r="K20" s="31">
        <v>46</v>
      </c>
      <c r="L20" s="32">
        <v>4428</v>
      </c>
      <c r="M20" s="33">
        <v>301</v>
      </c>
      <c r="N20" s="34">
        <v>243764</v>
      </c>
      <c r="O20" s="52">
        <v>0</v>
      </c>
      <c r="P20" s="32">
        <v>1</v>
      </c>
      <c r="Q20" s="33">
        <v>12</v>
      </c>
      <c r="R20" s="34">
        <v>17129</v>
      </c>
      <c r="S20" s="31">
        <v>20</v>
      </c>
      <c r="T20" s="32">
        <v>8672</v>
      </c>
      <c r="U20" s="33">
        <v>0</v>
      </c>
      <c r="V20" s="34">
        <v>0</v>
      </c>
      <c r="W20" s="31">
        <v>0</v>
      </c>
      <c r="X20" s="32">
        <v>0</v>
      </c>
      <c r="Y20" s="33">
        <v>0</v>
      </c>
      <c r="Z20" s="34">
        <v>0</v>
      </c>
      <c r="AA20" s="31">
        <v>375</v>
      </c>
      <c r="AB20" s="32">
        <v>113505</v>
      </c>
    </row>
    <row r="21" s="6" customFormat="1" ht="16.5" customHeight="1">
      <c r="A21" s="6" t="s">
        <v>19</v>
      </c>
    </row>
    <row r="22" s="6" customFormat="1" ht="16.5" customHeight="1">
      <c r="A22" s="6" t="s">
        <v>20</v>
      </c>
    </row>
    <row r="23" s="1" customFormat="1" ht="15" customHeight="1"/>
    <row r="24" s="1" customFormat="1" ht="15" customHeight="1"/>
    <row r="25" ht="13.5">
      <c r="E25" s="4"/>
    </row>
  </sheetData>
  <sheetProtection/>
  <mergeCells count="14">
    <mergeCell ref="Y4:Z4"/>
    <mergeCell ref="AA4:AB4"/>
    <mergeCell ref="Q4:R4"/>
    <mergeCell ref="S4:T4"/>
    <mergeCell ref="U4:V4"/>
    <mergeCell ref="W4:X4"/>
    <mergeCell ref="I4:J4"/>
    <mergeCell ref="K4:L4"/>
    <mergeCell ref="M4:N4"/>
    <mergeCell ref="O4:P4"/>
    <mergeCell ref="A4:B5"/>
    <mergeCell ref="C4:D4"/>
    <mergeCell ref="E4:F4"/>
    <mergeCell ref="G4:H4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2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7.59765625" style="3" customWidth="1"/>
    <col min="2" max="2" width="5.5" style="3" customWidth="1"/>
    <col min="3" max="3" width="10.5" style="3" bestFit="1" customWidth="1"/>
    <col min="4" max="4" width="13.8984375" style="3" bestFit="1" customWidth="1"/>
    <col min="5" max="5" width="8.59765625" style="3" customWidth="1"/>
    <col min="6" max="6" width="11.8984375" style="3" customWidth="1"/>
    <col min="7" max="7" width="8.59765625" style="3" customWidth="1"/>
    <col min="8" max="8" width="11.8984375" style="3" customWidth="1"/>
    <col min="9" max="9" width="8.59765625" style="3" customWidth="1"/>
    <col min="10" max="10" width="11.8984375" style="3" customWidth="1"/>
    <col min="11" max="11" width="8.59765625" style="3" customWidth="1"/>
    <col min="12" max="12" width="11.8984375" style="3" customWidth="1"/>
    <col min="13" max="13" width="8.59765625" style="3" customWidth="1"/>
    <col min="14" max="14" width="11.8984375" style="3" customWidth="1"/>
    <col min="15" max="15" width="8.59765625" style="3" customWidth="1"/>
    <col min="16" max="16" width="11.8984375" style="3" customWidth="1"/>
    <col min="17" max="17" width="8.59765625" style="3" customWidth="1"/>
    <col min="18" max="18" width="11.8984375" style="3" customWidth="1"/>
    <col min="19" max="19" width="8.59765625" style="3" customWidth="1"/>
    <col min="20" max="20" width="11.8984375" style="3" customWidth="1"/>
    <col min="21" max="21" width="8.59765625" style="3" customWidth="1"/>
    <col min="22" max="22" width="11.8984375" style="3" customWidth="1"/>
    <col min="23" max="23" width="8.59765625" style="3" customWidth="1"/>
    <col min="24" max="24" width="11.8984375" style="3" customWidth="1"/>
    <col min="25" max="25" width="8.59765625" style="3" customWidth="1"/>
    <col min="26" max="26" width="11.8984375" style="3" customWidth="1"/>
    <col min="27" max="27" width="8.59765625" style="3" customWidth="1"/>
    <col min="28" max="28" width="11.8984375" style="3" customWidth="1"/>
    <col min="29" max="16384" width="9" style="3" customWidth="1"/>
  </cols>
  <sheetData>
    <row r="1" s="2" customFormat="1" ht="16.5" customHeight="1">
      <c r="A1" s="5" t="s">
        <v>86</v>
      </c>
    </row>
    <row r="2" s="2" customFormat="1" ht="13.5" customHeight="1"/>
    <row r="3" s="6" customFormat="1" ht="16.5" customHeight="1">
      <c r="A3" s="6" t="s">
        <v>31</v>
      </c>
    </row>
    <row r="4" spans="1:28" s="6" customFormat="1" ht="18.75" customHeight="1">
      <c r="A4" s="120" t="s">
        <v>18</v>
      </c>
      <c r="B4" s="121"/>
      <c r="C4" s="124" t="s">
        <v>0</v>
      </c>
      <c r="D4" s="125"/>
      <c r="E4" s="126" t="s">
        <v>14</v>
      </c>
      <c r="F4" s="113"/>
      <c r="G4" s="112" t="s">
        <v>21</v>
      </c>
      <c r="H4" s="113"/>
      <c r="I4" s="112" t="s">
        <v>22</v>
      </c>
      <c r="J4" s="113"/>
      <c r="K4" s="112" t="s">
        <v>23</v>
      </c>
      <c r="L4" s="113"/>
      <c r="M4" s="112" t="s">
        <v>24</v>
      </c>
      <c r="N4" s="113"/>
      <c r="O4" s="112" t="s">
        <v>15</v>
      </c>
      <c r="P4" s="113"/>
      <c r="Q4" s="112" t="s">
        <v>25</v>
      </c>
      <c r="R4" s="113"/>
      <c r="S4" s="112" t="s">
        <v>26</v>
      </c>
      <c r="T4" s="113"/>
      <c r="U4" s="112" t="s">
        <v>27</v>
      </c>
      <c r="V4" s="113"/>
      <c r="W4" s="112" t="s">
        <v>28</v>
      </c>
      <c r="X4" s="113"/>
      <c r="Y4" s="112" t="s">
        <v>29</v>
      </c>
      <c r="Z4" s="113"/>
      <c r="AA4" s="112" t="s">
        <v>30</v>
      </c>
      <c r="AB4" s="113"/>
    </row>
    <row r="5" spans="1:28" s="6" customFormat="1" ht="18.75" customHeight="1">
      <c r="A5" s="122"/>
      <c r="B5" s="123"/>
      <c r="C5" s="7" t="s">
        <v>16</v>
      </c>
      <c r="D5" s="40" t="s">
        <v>17</v>
      </c>
      <c r="E5" s="35" t="s">
        <v>16</v>
      </c>
      <c r="F5" s="10" t="s">
        <v>17</v>
      </c>
      <c r="G5" s="7" t="s">
        <v>16</v>
      </c>
      <c r="H5" s="8" t="s">
        <v>17</v>
      </c>
      <c r="I5" s="9" t="s">
        <v>16</v>
      </c>
      <c r="J5" s="10" t="s">
        <v>17</v>
      </c>
      <c r="K5" s="7" t="s">
        <v>16</v>
      </c>
      <c r="L5" s="8" t="s">
        <v>17</v>
      </c>
      <c r="M5" s="9" t="s">
        <v>16</v>
      </c>
      <c r="N5" s="10" t="s">
        <v>17</v>
      </c>
      <c r="O5" s="7" t="s">
        <v>16</v>
      </c>
      <c r="P5" s="8" t="s">
        <v>17</v>
      </c>
      <c r="Q5" s="9" t="s">
        <v>16</v>
      </c>
      <c r="R5" s="10" t="s">
        <v>17</v>
      </c>
      <c r="S5" s="7" t="s">
        <v>16</v>
      </c>
      <c r="T5" s="8" t="s">
        <v>17</v>
      </c>
      <c r="U5" s="9" t="s">
        <v>16</v>
      </c>
      <c r="V5" s="10" t="s">
        <v>17</v>
      </c>
      <c r="W5" s="7" t="s">
        <v>16</v>
      </c>
      <c r="X5" s="8" t="s">
        <v>17</v>
      </c>
      <c r="Y5" s="9" t="s">
        <v>16</v>
      </c>
      <c r="Z5" s="10" t="s">
        <v>17</v>
      </c>
      <c r="AA5" s="7" t="s">
        <v>16</v>
      </c>
      <c r="AB5" s="8" t="s">
        <v>17</v>
      </c>
    </row>
    <row r="6" spans="1:28" s="6" customFormat="1" ht="18.75" customHeight="1">
      <c r="A6" s="11" t="s">
        <v>71</v>
      </c>
      <c r="B6" s="12" t="s">
        <v>13</v>
      </c>
      <c r="C6" s="27">
        <v>114577</v>
      </c>
      <c r="D6" s="41">
        <v>11911835</v>
      </c>
      <c r="E6" s="36">
        <v>53813</v>
      </c>
      <c r="F6" s="30">
        <v>3896698</v>
      </c>
      <c r="G6" s="27">
        <v>3869</v>
      </c>
      <c r="H6" s="28">
        <v>966494</v>
      </c>
      <c r="I6" s="29">
        <v>28526</v>
      </c>
      <c r="J6" s="30">
        <v>1985504</v>
      </c>
      <c r="K6" s="27">
        <v>3602</v>
      </c>
      <c r="L6" s="28">
        <v>587516</v>
      </c>
      <c r="M6" s="29">
        <v>1345</v>
      </c>
      <c r="N6" s="30">
        <v>705161</v>
      </c>
      <c r="O6" s="27">
        <v>1579</v>
      </c>
      <c r="P6" s="28">
        <v>856075</v>
      </c>
      <c r="Q6" s="29">
        <v>118</v>
      </c>
      <c r="R6" s="30">
        <v>212500</v>
      </c>
      <c r="S6" s="27">
        <v>741</v>
      </c>
      <c r="T6" s="28">
        <v>140828</v>
      </c>
      <c r="U6" s="29">
        <v>3364</v>
      </c>
      <c r="V6" s="30">
        <v>78773</v>
      </c>
      <c r="W6" s="27">
        <v>2280</v>
      </c>
      <c r="X6" s="28">
        <v>43754</v>
      </c>
      <c r="Y6" s="29">
        <v>251</v>
      </c>
      <c r="Z6" s="30">
        <v>257030</v>
      </c>
      <c r="AA6" s="27">
        <v>15089</v>
      </c>
      <c r="AB6" s="28">
        <v>2181502</v>
      </c>
    </row>
    <row r="7" spans="1:28" s="6" customFormat="1" ht="18.75" customHeight="1" thickBot="1">
      <c r="A7" s="13" t="s">
        <v>70</v>
      </c>
      <c r="B7" s="14" t="s">
        <v>13</v>
      </c>
      <c r="C7" s="17">
        <v>137948</v>
      </c>
      <c r="D7" s="42">
        <f aca="true" t="shared" si="0" ref="D7:T7">SUM(D8:D19)</f>
        <v>14562957</v>
      </c>
      <c r="E7" s="37">
        <f t="shared" si="0"/>
        <v>55786</v>
      </c>
      <c r="F7" s="16">
        <f t="shared" si="0"/>
        <v>4489157</v>
      </c>
      <c r="G7" s="17">
        <f t="shared" si="0"/>
        <v>3310</v>
      </c>
      <c r="H7" s="18">
        <f t="shared" si="0"/>
        <v>992926</v>
      </c>
      <c r="I7" s="15">
        <f t="shared" si="0"/>
        <v>27899</v>
      </c>
      <c r="J7" s="16">
        <f t="shared" si="0"/>
        <v>2081572</v>
      </c>
      <c r="K7" s="17">
        <f t="shared" si="0"/>
        <v>3869</v>
      </c>
      <c r="L7" s="18">
        <f t="shared" si="0"/>
        <v>893617</v>
      </c>
      <c r="M7" s="15">
        <f t="shared" si="0"/>
        <v>1490</v>
      </c>
      <c r="N7" s="16">
        <f t="shared" si="0"/>
        <v>754333</v>
      </c>
      <c r="O7" s="17">
        <f t="shared" si="0"/>
        <v>1487</v>
      </c>
      <c r="P7" s="18">
        <f t="shared" si="0"/>
        <v>916744</v>
      </c>
      <c r="Q7" s="15">
        <f t="shared" si="0"/>
        <v>108</v>
      </c>
      <c r="R7" s="16">
        <f t="shared" si="0"/>
        <v>195023</v>
      </c>
      <c r="S7" s="17">
        <f t="shared" si="0"/>
        <v>725</v>
      </c>
      <c r="T7" s="18">
        <f t="shared" si="0"/>
        <v>89569</v>
      </c>
      <c r="U7" s="15">
        <f aca="true" t="shared" si="1" ref="U7:Z7">SUM(U8:U19)</f>
        <v>1891</v>
      </c>
      <c r="V7" s="16">
        <f t="shared" si="1"/>
        <v>144705</v>
      </c>
      <c r="W7" s="17">
        <f t="shared" si="1"/>
        <v>16112</v>
      </c>
      <c r="X7" s="18">
        <f t="shared" si="1"/>
        <v>382795</v>
      </c>
      <c r="Y7" s="47">
        <f t="shared" si="1"/>
        <v>360</v>
      </c>
      <c r="Z7" s="16">
        <f t="shared" si="1"/>
        <v>326991</v>
      </c>
      <c r="AA7" s="17">
        <f>SUM(AA8:AA19)</f>
        <v>24912</v>
      </c>
      <c r="AB7" s="18">
        <f>SUM(AB8:AB19)</f>
        <v>3295525</v>
      </c>
    </row>
    <row r="8" spans="1:28" s="6" customFormat="1" ht="16.5" customHeight="1" thickTop="1">
      <c r="A8" s="19" t="s">
        <v>70</v>
      </c>
      <c r="B8" s="20" t="s">
        <v>1</v>
      </c>
      <c r="C8" s="23">
        <f aca="true" t="shared" si="2" ref="C8:D19">E8+G8+I8+K8+M8+O8+Q8+S8+U8+W8+Y8+AA8</f>
        <v>6813</v>
      </c>
      <c r="D8" s="43">
        <f t="shared" si="2"/>
        <v>1022075</v>
      </c>
      <c r="E8" s="38">
        <v>5988</v>
      </c>
      <c r="F8" s="22">
        <v>660734</v>
      </c>
      <c r="G8" s="23">
        <v>211</v>
      </c>
      <c r="H8" s="24">
        <v>79460</v>
      </c>
      <c r="I8" s="21">
        <v>0</v>
      </c>
      <c r="J8" s="22">
        <v>0</v>
      </c>
      <c r="K8" s="23">
        <v>24</v>
      </c>
      <c r="L8" s="24">
        <v>2382</v>
      </c>
      <c r="M8" s="21">
        <v>116</v>
      </c>
      <c r="N8" s="22">
        <v>58301</v>
      </c>
      <c r="O8" s="23">
        <v>0</v>
      </c>
      <c r="P8" s="24">
        <v>0</v>
      </c>
      <c r="Q8" s="21">
        <v>1</v>
      </c>
      <c r="R8" s="22">
        <v>1986</v>
      </c>
      <c r="S8" s="23">
        <v>79</v>
      </c>
      <c r="T8" s="24">
        <v>18550</v>
      </c>
      <c r="U8" s="21">
        <v>0</v>
      </c>
      <c r="V8" s="22">
        <v>0</v>
      </c>
      <c r="W8" s="23">
        <v>0</v>
      </c>
      <c r="X8" s="24">
        <v>0</v>
      </c>
      <c r="Y8" s="21">
        <v>0</v>
      </c>
      <c r="Z8" s="22">
        <v>0</v>
      </c>
      <c r="AA8" s="23">
        <v>394</v>
      </c>
      <c r="AB8" s="24">
        <v>200662</v>
      </c>
    </row>
    <row r="9" spans="1:28" s="6" customFormat="1" ht="16.5" customHeight="1">
      <c r="A9" s="19"/>
      <c r="B9" s="20" t="s">
        <v>2</v>
      </c>
      <c r="C9" s="23">
        <f t="shared" si="2"/>
        <v>17149</v>
      </c>
      <c r="D9" s="43">
        <f t="shared" si="2"/>
        <v>1874067</v>
      </c>
      <c r="E9" s="38">
        <v>6902</v>
      </c>
      <c r="F9" s="22">
        <v>601760</v>
      </c>
      <c r="G9" s="23">
        <v>267</v>
      </c>
      <c r="H9" s="24">
        <v>82271</v>
      </c>
      <c r="I9" s="21">
        <v>0</v>
      </c>
      <c r="J9" s="22">
        <v>0</v>
      </c>
      <c r="K9" s="23">
        <v>58</v>
      </c>
      <c r="L9" s="24">
        <v>5113</v>
      </c>
      <c r="M9" s="21">
        <v>268</v>
      </c>
      <c r="N9" s="22">
        <v>85463</v>
      </c>
      <c r="O9" s="23">
        <v>0</v>
      </c>
      <c r="P9" s="24">
        <v>0</v>
      </c>
      <c r="Q9" s="21">
        <v>15</v>
      </c>
      <c r="R9" s="22">
        <v>38498</v>
      </c>
      <c r="S9" s="23">
        <v>45</v>
      </c>
      <c r="T9" s="24">
        <v>9229</v>
      </c>
      <c r="U9" s="21">
        <v>0</v>
      </c>
      <c r="V9" s="22">
        <v>0</v>
      </c>
      <c r="W9" s="23">
        <v>0</v>
      </c>
      <c r="X9" s="24">
        <v>0</v>
      </c>
      <c r="Y9" s="21">
        <v>0</v>
      </c>
      <c r="Z9" s="22">
        <v>0</v>
      </c>
      <c r="AA9" s="23">
        <v>9594</v>
      </c>
      <c r="AB9" s="24">
        <v>1051733</v>
      </c>
    </row>
    <row r="10" spans="1:28" s="6" customFormat="1" ht="16.5" customHeight="1">
      <c r="A10" s="19"/>
      <c r="B10" s="20" t="s">
        <v>3</v>
      </c>
      <c r="C10" s="23">
        <f t="shared" si="2"/>
        <v>14651</v>
      </c>
      <c r="D10" s="43">
        <f t="shared" si="2"/>
        <v>1584684</v>
      </c>
      <c r="E10" s="38">
        <v>6255</v>
      </c>
      <c r="F10" s="22">
        <v>491096</v>
      </c>
      <c r="G10" s="23">
        <v>195</v>
      </c>
      <c r="H10" s="24">
        <v>51232</v>
      </c>
      <c r="I10" s="21">
        <v>0</v>
      </c>
      <c r="J10" s="22">
        <v>0</v>
      </c>
      <c r="K10" s="23">
        <v>48</v>
      </c>
      <c r="L10" s="24">
        <v>4636</v>
      </c>
      <c r="M10" s="21">
        <v>99</v>
      </c>
      <c r="N10" s="22">
        <v>45263</v>
      </c>
      <c r="O10" s="23">
        <v>0</v>
      </c>
      <c r="P10" s="24">
        <v>0</v>
      </c>
      <c r="Q10" s="21">
        <v>10</v>
      </c>
      <c r="R10" s="22">
        <v>16837</v>
      </c>
      <c r="S10" s="23">
        <v>282</v>
      </c>
      <c r="T10" s="24">
        <v>24237</v>
      </c>
      <c r="U10" s="21">
        <v>0</v>
      </c>
      <c r="V10" s="22">
        <v>0</v>
      </c>
      <c r="W10" s="23">
        <v>0</v>
      </c>
      <c r="X10" s="24">
        <v>0</v>
      </c>
      <c r="Y10" s="21">
        <v>0</v>
      </c>
      <c r="Z10" s="22">
        <v>0</v>
      </c>
      <c r="AA10" s="23">
        <v>7762</v>
      </c>
      <c r="AB10" s="24">
        <v>951383</v>
      </c>
    </row>
    <row r="11" spans="1:28" s="6" customFormat="1" ht="16.5" customHeight="1">
      <c r="A11" s="19"/>
      <c r="B11" s="20" t="s">
        <v>4</v>
      </c>
      <c r="C11" s="23">
        <f t="shared" si="2"/>
        <v>5758</v>
      </c>
      <c r="D11" s="43">
        <f t="shared" si="2"/>
        <v>758278</v>
      </c>
      <c r="E11" s="38">
        <v>3250</v>
      </c>
      <c r="F11" s="22">
        <v>338230</v>
      </c>
      <c r="G11" s="23">
        <v>234</v>
      </c>
      <c r="H11" s="24">
        <v>62534</v>
      </c>
      <c r="I11" s="21">
        <v>0</v>
      </c>
      <c r="J11" s="22">
        <v>0</v>
      </c>
      <c r="K11" s="23">
        <v>30</v>
      </c>
      <c r="L11" s="24">
        <v>3393</v>
      </c>
      <c r="M11" s="21">
        <v>121</v>
      </c>
      <c r="N11" s="22">
        <v>50598</v>
      </c>
      <c r="O11" s="23">
        <v>2</v>
      </c>
      <c r="P11" s="24">
        <v>2198</v>
      </c>
      <c r="Q11" s="21">
        <v>10</v>
      </c>
      <c r="R11" s="22">
        <v>17397</v>
      </c>
      <c r="S11" s="23">
        <v>70</v>
      </c>
      <c r="T11" s="24">
        <v>6791</v>
      </c>
      <c r="U11" s="21">
        <v>0</v>
      </c>
      <c r="V11" s="22">
        <v>0</v>
      </c>
      <c r="W11" s="23">
        <v>0</v>
      </c>
      <c r="X11" s="24">
        <v>0</v>
      </c>
      <c r="Y11" s="21">
        <v>0</v>
      </c>
      <c r="Z11" s="22">
        <v>0</v>
      </c>
      <c r="AA11" s="23">
        <v>2041</v>
      </c>
      <c r="AB11" s="24">
        <v>277137</v>
      </c>
    </row>
    <row r="12" spans="1:28" s="6" customFormat="1" ht="16.5" customHeight="1">
      <c r="A12" s="19"/>
      <c r="B12" s="20" t="s">
        <v>5</v>
      </c>
      <c r="C12" s="23">
        <f t="shared" si="2"/>
        <v>4646</v>
      </c>
      <c r="D12" s="43">
        <f t="shared" si="2"/>
        <v>626012</v>
      </c>
      <c r="E12" s="38">
        <v>3270</v>
      </c>
      <c r="F12" s="22">
        <v>298955</v>
      </c>
      <c r="G12" s="23">
        <v>291</v>
      </c>
      <c r="H12" s="24">
        <v>52968</v>
      </c>
      <c r="I12" s="21">
        <v>0</v>
      </c>
      <c r="J12" s="22">
        <v>0</v>
      </c>
      <c r="K12" s="23">
        <v>44</v>
      </c>
      <c r="L12" s="24">
        <v>5010</v>
      </c>
      <c r="M12" s="21">
        <v>138</v>
      </c>
      <c r="N12" s="22">
        <v>33459</v>
      </c>
      <c r="O12" s="23">
        <v>88</v>
      </c>
      <c r="P12" s="24">
        <v>67441</v>
      </c>
      <c r="Q12" s="21">
        <v>24</v>
      </c>
      <c r="R12" s="22">
        <v>30569</v>
      </c>
      <c r="S12" s="23">
        <v>141</v>
      </c>
      <c r="T12" s="24">
        <v>12602</v>
      </c>
      <c r="U12" s="21">
        <v>0</v>
      </c>
      <c r="V12" s="22">
        <v>0</v>
      </c>
      <c r="W12" s="23">
        <v>0</v>
      </c>
      <c r="X12" s="24">
        <v>0</v>
      </c>
      <c r="Y12" s="21">
        <v>0</v>
      </c>
      <c r="Z12" s="22">
        <v>0</v>
      </c>
      <c r="AA12" s="23">
        <v>650</v>
      </c>
      <c r="AB12" s="24">
        <v>125008</v>
      </c>
    </row>
    <row r="13" spans="1:28" s="6" customFormat="1" ht="16.5" customHeight="1">
      <c r="A13" s="19"/>
      <c r="B13" s="20" t="s">
        <v>6</v>
      </c>
      <c r="C13" s="23">
        <f t="shared" si="2"/>
        <v>1463</v>
      </c>
      <c r="D13" s="43">
        <f t="shared" si="2"/>
        <v>770126</v>
      </c>
      <c r="E13" s="38">
        <v>340</v>
      </c>
      <c r="F13" s="22">
        <v>32231</v>
      </c>
      <c r="G13" s="23">
        <v>61</v>
      </c>
      <c r="H13" s="24">
        <v>10265</v>
      </c>
      <c r="I13" s="21">
        <v>0</v>
      </c>
      <c r="J13" s="22">
        <v>0</v>
      </c>
      <c r="K13" s="23">
        <v>2</v>
      </c>
      <c r="L13" s="24">
        <v>188</v>
      </c>
      <c r="M13" s="21">
        <v>60</v>
      </c>
      <c r="N13" s="22">
        <v>19359</v>
      </c>
      <c r="O13" s="23">
        <v>786</v>
      </c>
      <c r="P13" s="24">
        <v>606112</v>
      </c>
      <c r="Q13" s="21">
        <v>3</v>
      </c>
      <c r="R13" s="22">
        <v>7237</v>
      </c>
      <c r="S13" s="23">
        <v>3</v>
      </c>
      <c r="T13" s="24">
        <v>595</v>
      </c>
      <c r="U13" s="21">
        <v>0</v>
      </c>
      <c r="V13" s="22">
        <v>0</v>
      </c>
      <c r="W13" s="23">
        <v>0</v>
      </c>
      <c r="X13" s="24">
        <v>0</v>
      </c>
      <c r="Y13" s="21">
        <v>0</v>
      </c>
      <c r="Z13" s="22">
        <v>0</v>
      </c>
      <c r="AA13" s="23">
        <v>208</v>
      </c>
      <c r="AB13" s="24">
        <v>94139</v>
      </c>
    </row>
    <row r="14" spans="1:28" s="6" customFormat="1" ht="16.5" customHeight="1">
      <c r="A14" s="19"/>
      <c r="B14" s="20" t="s">
        <v>7</v>
      </c>
      <c r="C14" s="23">
        <f t="shared" si="2"/>
        <v>1137</v>
      </c>
      <c r="D14" s="43">
        <f t="shared" si="2"/>
        <v>559623</v>
      </c>
      <c r="E14" s="38">
        <v>10</v>
      </c>
      <c r="F14" s="22">
        <v>546</v>
      </c>
      <c r="G14" s="23">
        <v>27</v>
      </c>
      <c r="H14" s="24">
        <v>5780</v>
      </c>
      <c r="I14" s="21">
        <v>554</v>
      </c>
      <c r="J14" s="22">
        <v>306176</v>
      </c>
      <c r="K14" s="45">
        <v>0</v>
      </c>
      <c r="L14" s="24">
        <v>2</v>
      </c>
      <c r="M14" s="21">
        <v>24</v>
      </c>
      <c r="N14" s="22">
        <v>11678</v>
      </c>
      <c r="O14" s="23">
        <v>182</v>
      </c>
      <c r="P14" s="24">
        <v>100041</v>
      </c>
      <c r="Q14" s="21">
        <v>13</v>
      </c>
      <c r="R14" s="22">
        <v>28575</v>
      </c>
      <c r="S14" s="45">
        <v>0</v>
      </c>
      <c r="T14" s="24">
        <v>14</v>
      </c>
      <c r="U14" s="21">
        <v>2</v>
      </c>
      <c r="V14" s="22">
        <v>730</v>
      </c>
      <c r="W14" s="23">
        <v>0</v>
      </c>
      <c r="X14" s="24">
        <v>0</v>
      </c>
      <c r="Y14" s="21">
        <v>0</v>
      </c>
      <c r="Z14" s="22">
        <v>0</v>
      </c>
      <c r="AA14" s="23">
        <v>325</v>
      </c>
      <c r="AB14" s="24">
        <v>106081</v>
      </c>
    </row>
    <row r="15" spans="1:28" s="6" customFormat="1" ht="16.5" customHeight="1">
      <c r="A15" s="19"/>
      <c r="B15" s="20" t="s">
        <v>8</v>
      </c>
      <c r="C15" s="23">
        <f t="shared" si="2"/>
        <v>3756</v>
      </c>
      <c r="D15" s="43">
        <f t="shared" si="2"/>
        <v>814935</v>
      </c>
      <c r="E15" s="38">
        <v>31</v>
      </c>
      <c r="F15" s="22">
        <v>1470</v>
      </c>
      <c r="G15" s="23">
        <v>17</v>
      </c>
      <c r="H15" s="24">
        <v>3850</v>
      </c>
      <c r="I15" s="21">
        <v>1769</v>
      </c>
      <c r="J15" s="22">
        <v>501717</v>
      </c>
      <c r="K15" s="23">
        <v>368</v>
      </c>
      <c r="L15" s="24">
        <v>69683</v>
      </c>
      <c r="M15" s="21">
        <v>16</v>
      </c>
      <c r="N15" s="22">
        <v>6373</v>
      </c>
      <c r="O15" s="23">
        <v>111</v>
      </c>
      <c r="P15" s="24">
        <v>42523</v>
      </c>
      <c r="Q15" s="21">
        <v>8</v>
      </c>
      <c r="R15" s="22">
        <v>17161</v>
      </c>
      <c r="S15" s="45">
        <v>0</v>
      </c>
      <c r="T15" s="24">
        <v>1</v>
      </c>
      <c r="U15" s="21">
        <v>1227</v>
      </c>
      <c r="V15" s="22">
        <v>96623</v>
      </c>
      <c r="W15" s="23">
        <v>8</v>
      </c>
      <c r="X15" s="24">
        <v>208</v>
      </c>
      <c r="Y15" s="21">
        <v>0</v>
      </c>
      <c r="Z15" s="22">
        <v>0</v>
      </c>
      <c r="AA15" s="23">
        <v>201</v>
      </c>
      <c r="AB15" s="24">
        <v>75326</v>
      </c>
    </row>
    <row r="16" spans="1:28" s="6" customFormat="1" ht="16.5" customHeight="1">
      <c r="A16" s="19"/>
      <c r="B16" s="20" t="s">
        <v>9</v>
      </c>
      <c r="C16" s="23">
        <f t="shared" si="2"/>
        <v>35718</v>
      </c>
      <c r="D16" s="43">
        <f t="shared" si="2"/>
        <v>1836703</v>
      </c>
      <c r="E16" s="38">
        <v>13731</v>
      </c>
      <c r="F16" s="22">
        <v>618389</v>
      </c>
      <c r="G16" s="23">
        <v>634</v>
      </c>
      <c r="H16" s="24">
        <v>135723</v>
      </c>
      <c r="I16" s="21">
        <v>12461</v>
      </c>
      <c r="J16" s="22">
        <v>658345</v>
      </c>
      <c r="K16" s="23">
        <v>345</v>
      </c>
      <c r="L16" s="24">
        <v>61962</v>
      </c>
      <c r="M16" s="21">
        <v>53</v>
      </c>
      <c r="N16" s="22">
        <v>13701</v>
      </c>
      <c r="O16" s="23">
        <v>187</v>
      </c>
      <c r="P16" s="24">
        <v>56144</v>
      </c>
      <c r="Q16" s="21">
        <v>5</v>
      </c>
      <c r="R16" s="22">
        <v>9569</v>
      </c>
      <c r="S16" s="23">
        <v>10</v>
      </c>
      <c r="T16" s="24">
        <v>724</v>
      </c>
      <c r="U16" s="21">
        <v>558</v>
      </c>
      <c r="V16" s="22">
        <v>42530</v>
      </c>
      <c r="W16" s="23">
        <v>6656</v>
      </c>
      <c r="X16" s="24">
        <v>163481</v>
      </c>
      <c r="Y16" s="46">
        <v>0</v>
      </c>
      <c r="Z16" s="22">
        <v>17</v>
      </c>
      <c r="AA16" s="23">
        <v>1078</v>
      </c>
      <c r="AB16" s="24">
        <v>76118</v>
      </c>
    </row>
    <row r="17" spans="1:28" s="6" customFormat="1" ht="16.5" customHeight="1">
      <c r="A17" s="19"/>
      <c r="B17" s="20" t="s">
        <v>10</v>
      </c>
      <c r="C17" s="23">
        <f t="shared" si="2"/>
        <v>32466</v>
      </c>
      <c r="D17" s="43">
        <f t="shared" si="2"/>
        <v>2158350</v>
      </c>
      <c r="E17" s="38">
        <v>6859</v>
      </c>
      <c r="F17" s="22">
        <v>455896</v>
      </c>
      <c r="G17" s="23">
        <v>588</v>
      </c>
      <c r="H17" s="24">
        <v>191895</v>
      </c>
      <c r="I17" s="21">
        <v>11728</v>
      </c>
      <c r="J17" s="22">
        <v>534485</v>
      </c>
      <c r="K17" s="23">
        <v>2223</v>
      </c>
      <c r="L17" s="24">
        <v>539070</v>
      </c>
      <c r="M17" s="21">
        <v>104</v>
      </c>
      <c r="N17" s="22">
        <v>52944</v>
      </c>
      <c r="O17" s="23">
        <v>130</v>
      </c>
      <c r="P17" s="24">
        <v>42021</v>
      </c>
      <c r="Q17" s="21">
        <v>6</v>
      </c>
      <c r="R17" s="22">
        <v>9872</v>
      </c>
      <c r="S17" s="23">
        <v>40</v>
      </c>
      <c r="T17" s="24">
        <v>4798</v>
      </c>
      <c r="U17" s="21">
        <v>104</v>
      </c>
      <c r="V17" s="22">
        <v>4822</v>
      </c>
      <c r="W17" s="23">
        <v>9299</v>
      </c>
      <c r="X17" s="24">
        <v>215135</v>
      </c>
      <c r="Y17" s="21">
        <v>25</v>
      </c>
      <c r="Z17" s="22">
        <v>22476</v>
      </c>
      <c r="AA17" s="23">
        <v>1360</v>
      </c>
      <c r="AB17" s="24">
        <v>84936</v>
      </c>
    </row>
    <row r="18" spans="1:28" s="6" customFormat="1" ht="16.5" customHeight="1">
      <c r="A18" s="19"/>
      <c r="B18" s="20" t="s">
        <v>11</v>
      </c>
      <c r="C18" s="23">
        <f t="shared" si="2"/>
        <v>9126</v>
      </c>
      <c r="D18" s="43">
        <f t="shared" si="2"/>
        <v>1606727</v>
      </c>
      <c r="E18" s="38">
        <v>5146</v>
      </c>
      <c r="F18" s="22">
        <v>531799</v>
      </c>
      <c r="G18" s="23">
        <v>370</v>
      </c>
      <c r="H18" s="24">
        <v>147284</v>
      </c>
      <c r="I18" s="21">
        <v>1387</v>
      </c>
      <c r="J18" s="22">
        <v>80849</v>
      </c>
      <c r="K18" s="23">
        <v>689</v>
      </c>
      <c r="L18" s="24">
        <v>198030</v>
      </c>
      <c r="M18" s="21">
        <v>265</v>
      </c>
      <c r="N18" s="22">
        <v>216474</v>
      </c>
      <c r="O18" s="23">
        <v>1</v>
      </c>
      <c r="P18" s="24">
        <v>240</v>
      </c>
      <c r="Q18" s="21">
        <v>8</v>
      </c>
      <c r="R18" s="22">
        <v>8184</v>
      </c>
      <c r="S18" s="23">
        <v>21</v>
      </c>
      <c r="T18" s="24">
        <v>3908</v>
      </c>
      <c r="U18" s="21">
        <v>0</v>
      </c>
      <c r="V18" s="22">
        <v>0</v>
      </c>
      <c r="W18" s="23">
        <v>149</v>
      </c>
      <c r="X18" s="24">
        <v>3971</v>
      </c>
      <c r="Y18" s="21">
        <v>335</v>
      </c>
      <c r="Z18" s="22">
        <v>304498</v>
      </c>
      <c r="AA18" s="23">
        <v>755</v>
      </c>
      <c r="AB18" s="24">
        <v>111490</v>
      </c>
    </row>
    <row r="19" spans="1:28" s="6" customFormat="1" ht="16.5" customHeight="1">
      <c r="A19" s="25"/>
      <c r="B19" s="26" t="s">
        <v>12</v>
      </c>
      <c r="C19" s="31">
        <f t="shared" si="2"/>
        <v>5266</v>
      </c>
      <c r="D19" s="44">
        <f t="shared" si="2"/>
        <v>951377</v>
      </c>
      <c r="E19" s="39">
        <v>4004</v>
      </c>
      <c r="F19" s="34">
        <v>458051</v>
      </c>
      <c r="G19" s="31">
        <v>415</v>
      </c>
      <c r="H19" s="32">
        <v>169664</v>
      </c>
      <c r="I19" s="33">
        <v>0</v>
      </c>
      <c r="J19" s="34">
        <v>0</v>
      </c>
      <c r="K19" s="31">
        <v>38</v>
      </c>
      <c r="L19" s="32">
        <v>4148</v>
      </c>
      <c r="M19" s="33">
        <v>226</v>
      </c>
      <c r="N19" s="34">
        <v>160720</v>
      </c>
      <c r="O19" s="31">
        <v>0</v>
      </c>
      <c r="P19" s="32">
        <v>24</v>
      </c>
      <c r="Q19" s="33">
        <v>5</v>
      </c>
      <c r="R19" s="34">
        <v>9138</v>
      </c>
      <c r="S19" s="31">
        <v>34</v>
      </c>
      <c r="T19" s="32">
        <v>8120</v>
      </c>
      <c r="U19" s="33">
        <v>0</v>
      </c>
      <c r="V19" s="34">
        <v>0</v>
      </c>
      <c r="W19" s="31">
        <v>0</v>
      </c>
      <c r="X19" s="32">
        <v>0</v>
      </c>
      <c r="Y19" s="33">
        <v>0</v>
      </c>
      <c r="Z19" s="34">
        <v>0</v>
      </c>
      <c r="AA19" s="31">
        <v>544</v>
      </c>
      <c r="AB19" s="32">
        <v>141512</v>
      </c>
    </row>
    <row r="20" s="6" customFormat="1" ht="16.5" customHeight="1">
      <c r="A20" s="6" t="s">
        <v>19</v>
      </c>
    </row>
    <row r="21" s="6" customFormat="1" ht="16.5" customHeight="1">
      <c r="A21" s="6" t="s">
        <v>20</v>
      </c>
    </row>
    <row r="22" s="1" customFormat="1" ht="15" customHeight="1"/>
    <row r="23" s="1" customFormat="1" ht="15" customHeight="1"/>
    <row r="24" ht="13.5">
      <c r="E24" s="4"/>
    </row>
  </sheetData>
  <sheetProtection/>
  <mergeCells count="14">
    <mergeCell ref="A4:B5"/>
    <mergeCell ref="Q4:R4"/>
    <mergeCell ref="G4:H4"/>
    <mergeCell ref="I4:J4"/>
    <mergeCell ref="K4:L4"/>
    <mergeCell ref="M4:N4"/>
    <mergeCell ref="O4:P4"/>
    <mergeCell ref="C4:D4"/>
    <mergeCell ref="E4:F4"/>
    <mergeCell ref="AA4:AB4"/>
    <mergeCell ref="S4:T4"/>
    <mergeCell ref="U4:V4"/>
    <mergeCell ref="W4:X4"/>
    <mergeCell ref="Y4:Z4"/>
  </mergeCells>
  <printOptions/>
  <pageMargins left="0.78" right="0.52" top="0.8" bottom="0.61" header="0.2" footer="0.2"/>
  <pageSetup horizontalDpi="600" verticalDpi="600" orientation="landscape" paperSize="9" scale="93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7.59765625" style="56" customWidth="1"/>
    <col min="2" max="2" width="5.5" style="56" customWidth="1"/>
    <col min="3" max="3" width="11.8984375" style="56" customWidth="1"/>
    <col min="4" max="4" width="13.5" style="56" customWidth="1"/>
    <col min="5" max="5" width="9.5" style="56" bestFit="1" customWidth="1"/>
    <col min="6" max="6" width="11.8984375" style="56" customWidth="1"/>
    <col min="7" max="7" width="8.59765625" style="56" customWidth="1"/>
    <col min="8" max="8" width="11.8984375" style="56" customWidth="1"/>
    <col min="9" max="9" width="9.5" style="56" bestFit="1" customWidth="1"/>
    <col min="10" max="10" width="11.8984375" style="56" customWidth="1"/>
    <col min="11" max="11" width="8.59765625" style="56" customWidth="1"/>
    <col min="12" max="12" width="11.8984375" style="56" customWidth="1"/>
    <col min="13" max="13" width="8.59765625" style="56" customWidth="1"/>
    <col min="14" max="14" width="11.8984375" style="56" customWidth="1"/>
    <col min="15" max="15" width="8.59765625" style="56" customWidth="1"/>
    <col min="16" max="16" width="11.8984375" style="56" customWidth="1"/>
    <col min="17" max="17" width="8.59765625" style="56" customWidth="1"/>
    <col min="18" max="18" width="11.8984375" style="56" customWidth="1"/>
    <col min="19" max="19" width="8.59765625" style="56" customWidth="1"/>
    <col min="20" max="20" width="11.8984375" style="56" customWidth="1"/>
    <col min="21" max="21" width="9.5" style="56" bestFit="1" customWidth="1"/>
    <col min="22" max="22" width="11.8984375" style="56" customWidth="1"/>
    <col min="23" max="23" width="10.5" style="56" bestFit="1" customWidth="1"/>
    <col min="24" max="24" width="11.8984375" style="56" customWidth="1"/>
    <col min="25" max="25" width="8.59765625" style="56" customWidth="1"/>
    <col min="26" max="26" width="11.8984375" style="56" customWidth="1"/>
    <col min="27" max="27" width="9.5" style="56" bestFit="1" customWidth="1"/>
    <col min="28" max="28" width="11.8984375" style="56" customWidth="1"/>
    <col min="29" max="16384" width="9" style="56" customWidth="1"/>
  </cols>
  <sheetData>
    <row r="1" spans="1:4" ht="16.5" customHeight="1">
      <c r="A1" s="5" t="s">
        <v>92</v>
      </c>
      <c r="C1" s="5"/>
      <c r="D1" s="5"/>
    </row>
    <row r="2" ht="13.5" customHeight="1"/>
    <row r="3" s="6" customFormat="1" ht="16.5" customHeight="1">
      <c r="A3" s="6" t="s">
        <v>31</v>
      </c>
    </row>
    <row r="4" spans="1:28" s="6" customFormat="1" ht="18.75" customHeight="1">
      <c r="A4" s="120" t="s">
        <v>18</v>
      </c>
      <c r="B4" s="121"/>
      <c r="C4" s="124" t="s">
        <v>0</v>
      </c>
      <c r="D4" s="125"/>
      <c r="E4" s="126" t="s">
        <v>14</v>
      </c>
      <c r="F4" s="113"/>
      <c r="G4" s="112" t="s">
        <v>21</v>
      </c>
      <c r="H4" s="113"/>
      <c r="I4" s="112" t="s">
        <v>22</v>
      </c>
      <c r="J4" s="113"/>
      <c r="K4" s="112" t="s">
        <v>23</v>
      </c>
      <c r="L4" s="113"/>
      <c r="M4" s="112" t="s">
        <v>24</v>
      </c>
      <c r="N4" s="113"/>
      <c r="O4" s="112" t="s">
        <v>15</v>
      </c>
      <c r="P4" s="113"/>
      <c r="Q4" s="112" t="s">
        <v>25</v>
      </c>
      <c r="R4" s="113"/>
      <c r="S4" s="112" t="s">
        <v>26</v>
      </c>
      <c r="T4" s="113"/>
      <c r="U4" s="112" t="s">
        <v>27</v>
      </c>
      <c r="V4" s="113"/>
      <c r="W4" s="112" t="s">
        <v>28</v>
      </c>
      <c r="X4" s="113"/>
      <c r="Y4" s="112" t="s">
        <v>29</v>
      </c>
      <c r="Z4" s="113"/>
      <c r="AA4" s="112" t="s">
        <v>30</v>
      </c>
      <c r="AB4" s="113"/>
    </row>
    <row r="5" spans="1:28" s="6" customFormat="1" ht="18.75" customHeight="1">
      <c r="A5" s="122"/>
      <c r="B5" s="123"/>
      <c r="C5" s="7" t="s">
        <v>16</v>
      </c>
      <c r="D5" s="40" t="s">
        <v>17</v>
      </c>
      <c r="E5" s="35" t="s">
        <v>16</v>
      </c>
      <c r="F5" s="10" t="s">
        <v>17</v>
      </c>
      <c r="G5" s="7" t="s">
        <v>16</v>
      </c>
      <c r="H5" s="8" t="s">
        <v>17</v>
      </c>
      <c r="I5" s="9" t="s">
        <v>16</v>
      </c>
      <c r="J5" s="10" t="s">
        <v>17</v>
      </c>
      <c r="K5" s="7" t="s">
        <v>16</v>
      </c>
      <c r="L5" s="8" t="s">
        <v>17</v>
      </c>
      <c r="M5" s="9" t="s">
        <v>16</v>
      </c>
      <c r="N5" s="10" t="s">
        <v>17</v>
      </c>
      <c r="O5" s="7" t="s">
        <v>16</v>
      </c>
      <c r="P5" s="8" t="s">
        <v>17</v>
      </c>
      <c r="Q5" s="9" t="s">
        <v>16</v>
      </c>
      <c r="R5" s="8" t="s">
        <v>17</v>
      </c>
      <c r="S5" s="7" t="s">
        <v>16</v>
      </c>
      <c r="T5" s="8" t="s">
        <v>17</v>
      </c>
      <c r="U5" s="9" t="s">
        <v>16</v>
      </c>
      <c r="V5" s="10" t="s">
        <v>17</v>
      </c>
      <c r="W5" s="7" t="s">
        <v>16</v>
      </c>
      <c r="X5" s="8" t="s">
        <v>17</v>
      </c>
      <c r="Y5" s="9" t="s">
        <v>16</v>
      </c>
      <c r="Z5" s="8" t="s">
        <v>17</v>
      </c>
      <c r="AA5" s="7" t="s">
        <v>16</v>
      </c>
      <c r="AB5" s="8" t="s">
        <v>17</v>
      </c>
    </row>
    <row r="6" spans="1:28" s="6" customFormat="1" ht="18.75" customHeight="1">
      <c r="A6" s="11" t="s">
        <v>71</v>
      </c>
      <c r="B6" s="85" t="s">
        <v>13</v>
      </c>
      <c r="C6" s="29">
        <v>114577</v>
      </c>
      <c r="D6" s="41">
        <v>11911835</v>
      </c>
      <c r="E6" s="36">
        <v>53813</v>
      </c>
      <c r="F6" s="30">
        <v>3896698</v>
      </c>
      <c r="G6" s="27">
        <v>3869</v>
      </c>
      <c r="H6" s="28">
        <v>966494</v>
      </c>
      <c r="I6" s="29">
        <v>28526</v>
      </c>
      <c r="J6" s="28">
        <v>1985504</v>
      </c>
      <c r="K6" s="27">
        <v>3602</v>
      </c>
      <c r="L6" s="28">
        <v>587516</v>
      </c>
      <c r="M6" s="29">
        <v>1345</v>
      </c>
      <c r="N6" s="28">
        <v>705161</v>
      </c>
      <c r="O6" s="27">
        <v>1579</v>
      </c>
      <c r="P6" s="28">
        <v>856075</v>
      </c>
      <c r="Q6" s="29">
        <v>118</v>
      </c>
      <c r="R6" s="28">
        <v>212500</v>
      </c>
      <c r="S6" s="27">
        <v>741</v>
      </c>
      <c r="T6" s="28">
        <v>140828</v>
      </c>
      <c r="U6" s="29">
        <v>3364</v>
      </c>
      <c r="V6" s="28">
        <v>78773</v>
      </c>
      <c r="W6" s="27">
        <v>2280</v>
      </c>
      <c r="X6" s="28">
        <v>43754</v>
      </c>
      <c r="Y6" s="29">
        <v>251</v>
      </c>
      <c r="Z6" s="28">
        <v>257030</v>
      </c>
      <c r="AA6" s="27">
        <v>15089</v>
      </c>
      <c r="AB6" s="28">
        <v>2181502</v>
      </c>
    </row>
    <row r="7" spans="1:28" s="6" customFormat="1" ht="18.75" customHeight="1">
      <c r="A7" s="19" t="s">
        <v>70</v>
      </c>
      <c r="B7" s="86" t="s">
        <v>13</v>
      </c>
      <c r="C7" s="21">
        <v>137948</v>
      </c>
      <c r="D7" s="43">
        <v>14562957</v>
      </c>
      <c r="E7" s="38">
        <v>55786</v>
      </c>
      <c r="F7" s="22">
        <v>4489157</v>
      </c>
      <c r="G7" s="23">
        <v>3310</v>
      </c>
      <c r="H7" s="24">
        <v>992926</v>
      </c>
      <c r="I7" s="21">
        <v>27899</v>
      </c>
      <c r="J7" s="24">
        <v>2081572</v>
      </c>
      <c r="K7" s="23">
        <v>3869</v>
      </c>
      <c r="L7" s="24">
        <v>893617</v>
      </c>
      <c r="M7" s="21">
        <v>1490</v>
      </c>
      <c r="N7" s="24">
        <v>754333</v>
      </c>
      <c r="O7" s="23">
        <v>1487</v>
      </c>
      <c r="P7" s="24">
        <v>916744</v>
      </c>
      <c r="Q7" s="21">
        <v>108</v>
      </c>
      <c r="R7" s="24">
        <v>195023</v>
      </c>
      <c r="S7" s="23">
        <v>725</v>
      </c>
      <c r="T7" s="24">
        <v>89569</v>
      </c>
      <c r="U7" s="21">
        <v>1891</v>
      </c>
      <c r="V7" s="24">
        <v>144705</v>
      </c>
      <c r="W7" s="23">
        <v>16112</v>
      </c>
      <c r="X7" s="24">
        <v>382795</v>
      </c>
      <c r="Y7" s="46">
        <v>360</v>
      </c>
      <c r="Z7" s="24">
        <v>326991</v>
      </c>
      <c r="AA7" s="23">
        <v>24912</v>
      </c>
      <c r="AB7" s="24">
        <v>3295525</v>
      </c>
    </row>
    <row r="8" spans="1:28" s="6" customFormat="1" ht="18.75" customHeight="1">
      <c r="A8" s="19" t="s">
        <v>69</v>
      </c>
      <c r="B8" s="86" t="s">
        <v>13</v>
      </c>
      <c r="C8" s="21">
        <v>107569</v>
      </c>
      <c r="D8" s="43">
        <v>12723109</v>
      </c>
      <c r="E8" s="38">
        <v>50408</v>
      </c>
      <c r="F8" s="22">
        <v>4285036</v>
      </c>
      <c r="G8" s="23">
        <v>3511</v>
      </c>
      <c r="H8" s="24">
        <v>1040834</v>
      </c>
      <c r="I8" s="21">
        <v>34098</v>
      </c>
      <c r="J8" s="24">
        <v>2522079</v>
      </c>
      <c r="K8" s="23">
        <v>4992</v>
      </c>
      <c r="L8" s="24">
        <v>660467</v>
      </c>
      <c r="M8" s="21">
        <v>1176</v>
      </c>
      <c r="N8" s="24">
        <v>718806</v>
      </c>
      <c r="O8" s="23">
        <v>1422</v>
      </c>
      <c r="P8" s="24">
        <v>853981</v>
      </c>
      <c r="Q8" s="21">
        <v>103</v>
      </c>
      <c r="R8" s="24">
        <v>171971</v>
      </c>
      <c r="S8" s="23">
        <v>482</v>
      </c>
      <c r="T8" s="24">
        <v>114497</v>
      </c>
      <c r="U8" s="21">
        <v>794</v>
      </c>
      <c r="V8" s="24">
        <v>72318</v>
      </c>
      <c r="W8" s="23">
        <v>52</v>
      </c>
      <c r="X8" s="24">
        <v>2180</v>
      </c>
      <c r="Y8" s="46">
        <v>250</v>
      </c>
      <c r="Z8" s="24">
        <v>366073</v>
      </c>
      <c r="AA8" s="23">
        <v>10282</v>
      </c>
      <c r="AB8" s="24">
        <v>1914866</v>
      </c>
    </row>
    <row r="9" spans="1:28" s="6" customFormat="1" ht="18.75" customHeight="1">
      <c r="A9" s="19" t="s">
        <v>68</v>
      </c>
      <c r="B9" s="86" t="s">
        <v>13</v>
      </c>
      <c r="C9" s="21">
        <v>125679</v>
      </c>
      <c r="D9" s="43">
        <v>15281221</v>
      </c>
      <c r="E9" s="38">
        <v>66253</v>
      </c>
      <c r="F9" s="22">
        <v>6179462</v>
      </c>
      <c r="G9" s="23">
        <v>3669</v>
      </c>
      <c r="H9" s="24">
        <v>1200338</v>
      </c>
      <c r="I9" s="21">
        <v>30698</v>
      </c>
      <c r="J9" s="24">
        <v>2575115</v>
      </c>
      <c r="K9" s="23">
        <v>1852</v>
      </c>
      <c r="L9" s="24">
        <v>257255</v>
      </c>
      <c r="M9" s="21">
        <v>972</v>
      </c>
      <c r="N9" s="24">
        <v>586883</v>
      </c>
      <c r="O9" s="23">
        <v>1462</v>
      </c>
      <c r="P9" s="24">
        <v>895714</v>
      </c>
      <c r="Q9" s="21">
        <v>32</v>
      </c>
      <c r="R9" s="24">
        <v>54093</v>
      </c>
      <c r="S9" s="23">
        <v>233</v>
      </c>
      <c r="T9" s="24">
        <v>70889</v>
      </c>
      <c r="U9" s="21">
        <v>19</v>
      </c>
      <c r="V9" s="24">
        <v>2464</v>
      </c>
      <c r="W9" s="23">
        <v>681</v>
      </c>
      <c r="X9" s="24">
        <v>20030</v>
      </c>
      <c r="Y9" s="46">
        <v>102</v>
      </c>
      <c r="Z9" s="24">
        <v>191992</v>
      </c>
      <c r="AA9" s="23">
        <v>19706</v>
      </c>
      <c r="AB9" s="24">
        <v>3246986</v>
      </c>
    </row>
    <row r="10" spans="1:28" s="6" customFormat="1" ht="18.75" customHeight="1">
      <c r="A10" s="19" t="s">
        <v>67</v>
      </c>
      <c r="B10" s="86" t="s">
        <v>13</v>
      </c>
      <c r="C10" s="21">
        <v>128052</v>
      </c>
      <c r="D10" s="43">
        <v>12154590</v>
      </c>
      <c r="E10" s="38">
        <v>55825</v>
      </c>
      <c r="F10" s="22">
        <v>3325149</v>
      </c>
      <c r="G10" s="23">
        <v>3603</v>
      </c>
      <c r="H10" s="24">
        <v>926514</v>
      </c>
      <c r="I10" s="21">
        <v>28797</v>
      </c>
      <c r="J10" s="24">
        <v>2548975</v>
      </c>
      <c r="K10" s="23">
        <v>4772</v>
      </c>
      <c r="L10" s="24">
        <v>619477</v>
      </c>
      <c r="M10" s="21">
        <v>863</v>
      </c>
      <c r="N10" s="24">
        <v>414570</v>
      </c>
      <c r="O10" s="23">
        <v>1019</v>
      </c>
      <c r="P10" s="24">
        <v>615953</v>
      </c>
      <c r="Q10" s="21">
        <v>72</v>
      </c>
      <c r="R10" s="24">
        <v>121419</v>
      </c>
      <c r="S10" s="23">
        <v>958</v>
      </c>
      <c r="T10" s="24">
        <v>176614</v>
      </c>
      <c r="U10" s="21">
        <v>0</v>
      </c>
      <c r="V10" s="24">
        <v>0</v>
      </c>
      <c r="W10" s="23">
        <v>7138</v>
      </c>
      <c r="X10" s="24">
        <v>123775</v>
      </c>
      <c r="Y10" s="46">
        <v>252</v>
      </c>
      <c r="Z10" s="24">
        <v>250170</v>
      </c>
      <c r="AA10" s="23">
        <v>24753</v>
      </c>
      <c r="AB10" s="24">
        <v>3031974</v>
      </c>
    </row>
    <row r="11" spans="1:28" s="6" customFormat="1" ht="18.75" customHeight="1">
      <c r="A11" s="19" t="s">
        <v>66</v>
      </c>
      <c r="B11" s="86" t="s">
        <v>13</v>
      </c>
      <c r="C11" s="21">
        <v>113990</v>
      </c>
      <c r="D11" s="43">
        <v>11357761</v>
      </c>
      <c r="E11" s="38">
        <v>64240</v>
      </c>
      <c r="F11" s="22">
        <v>4297828</v>
      </c>
      <c r="G11" s="23">
        <v>4715</v>
      </c>
      <c r="H11" s="24">
        <v>1228507</v>
      </c>
      <c r="I11" s="21">
        <v>18531</v>
      </c>
      <c r="J11" s="24">
        <v>2052722</v>
      </c>
      <c r="K11" s="23">
        <v>3085</v>
      </c>
      <c r="L11" s="24">
        <v>713613</v>
      </c>
      <c r="M11" s="21">
        <v>866</v>
      </c>
      <c r="N11" s="24">
        <v>331092</v>
      </c>
      <c r="O11" s="23">
        <v>1282</v>
      </c>
      <c r="P11" s="24">
        <v>899729</v>
      </c>
      <c r="Q11" s="21">
        <v>58</v>
      </c>
      <c r="R11" s="24">
        <v>75496</v>
      </c>
      <c r="S11" s="23">
        <v>429</v>
      </c>
      <c r="T11" s="24">
        <v>88209</v>
      </c>
      <c r="U11" s="21">
        <v>250</v>
      </c>
      <c r="V11" s="24">
        <v>9225</v>
      </c>
      <c r="W11" s="23">
        <v>14742</v>
      </c>
      <c r="X11" s="24">
        <v>356297</v>
      </c>
      <c r="Y11" s="46">
        <v>271</v>
      </c>
      <c r="Z11" s="24">
        <v>190923</v>
      </c>
      <c r="AA11" s="23">
        <v>5521</v>
      </c>
      <c r="AB11" s="24">
        <v>1114120</v>
      </c>
    </row>
    <row r="12" spans="1:28" s="6" customFormat="1" ht="18.75" customHeight="1">
      <c r="A12" s="19" t="s">
        <v>65</v>
      </c>
      <c r="B12" s="86" t="s">
        <v>13</v>
      </c>
      <c r="C12" s="21">
        <v>119641</v>
      </c>
      <c r="D12" s="43">
        <v>9969801</v>
      </c>
      <c r="E12" s="38">
        <v>69584</v>
      </c>
      <c r="F12" s="22">
        <v>2931896</v>
      </c>
      <c r="G12" s="23">
        <v>5691</v>
      </c>
      <c r="H12" s="24">
        <v>1426392</v>
      </c>
      <c r="I12" s="21">
        <v>28277</v>
      </c>
      <c r="J12" s="24">
        <v>2446794</v>
      </c>
      <c r="K12" s="23">
        <v>6271</v>
      </c>
      <c r="L12" s="24">
        <v>1119647</v>
      </c>
      <c r="M12" s="21">
        <v>1303</v>
      </c>
      <c r="N12" s="24">
        <v>482612</v>
      </c>
      <c r="O12" s="23">
        <v>853</v>
      </c>
      <c r="P12" s="24">
        <v>549834</v>
      </c>
      <c r="Q12" s="21">
        <v>97</v>
      </c>
      <c r="R12" s="24">
        <v>92703</v>
      </c>
      <c r="S12" s="23">
        <v>248</v>
      </c>
      <c r="T12" s="24">
        <v>65418</v>
      </c>
      <c r="U12" s="21">
        <v>13</v>
      </c>
      <c r="V12" s="24">
        <v>2146</v>
      </c>
      <c r="W12" s="23">
        <v>3727</v>
      </c>
      <c r="X12" s="24">
        <v>76854</v>
      </c>
      <c r="Y12" s="46">
        <v>138</v>
      </c>
      <c r="Z12" s="24">
        <v>137147</v>
      </c>
      <c r="AA12" s="23">
        <v>3439</v>
      </c>
      <c r="AB12" s="24">
        <v>638358</v>
      </c>
    </row>
    <row r="13" spans="1:28" s="6" customFormat="1" ht="18.75" customHeight="1">
      <c r="A13" s="19" t="s">
        <v>64</v>
      </c>
      <c r="B13" s="86" t="s">
        <v>13</v>
      </c>
      <c r="C13" s="21">
        <v>110258</v>
      </c>
      <c r="D13" s="43">
        <v>8839453</v>
      </c>
      <c r="E13" s="64">
        <v>58421</v>
      </c>
      <c r="F13" s="22">
        <v>2986632</v>
      </c>
      <c r="G13" s="23">
        <v>6652</v>
      </c>
      <c r="H13" s="24">
        <v>1281557</v>
      </c>
      <c r="I13" s="65">
        <v>23683</v>
      </c>
      <c r="J13" s="66">
        <v>1484421</v>
      </c>
      <c r="K13" s="23">
        <v>6664</v>
      </c>
      <c r="L13" s="24">
        <v>963214</v>
      </c>
      <c r="M13" s="21">
        <v>1155</v>
      </c>
      <c r="N13" s="24">
        <v>444008</v>
      </c>
      <c r="O13" s="23">
        <v>504</v>
      </c>
      <c r="P13" s="24">
        <v>237111</v>
      </c>
      <c r="Q13" s="21">
        <v>104</v>
      </c>
      <c r="R13" s="24">
        <v>96695</v>
      </c>
      <c r="S13" s="23">
        <v>47</v>
      </c>
      <c r="T13" s="24">
        <v>11308</v>
      </c>
      <c r="U13" s="21">
        <v>2410</v>
      </c>
      <c r="V13" s="24">
        <v>181592</v>
      </c>
      <c r="W13" s="46">
        <v>3162</v>
      </c>
      <c r="X13" s="24">
        <v>77658</v>
      </c>
      <c r="Y13" s="46">
        <v>192</v>
      </c>
      <c r="Z13" s="24">
        <v>321608</v>
      </c>
      <c r="AA13" s="67">
        <v>7264</v>
      </c>
      <c r="AB13" s="66">
        <v>753649</v>
      </c>
    </row>
    <row r="14" spans="1:28" s="48" customFormat="1" ht="18.75" customHeight="1">
      <c r="A14" s="19" t="s">
        <v>63</v>
      </c>
      <c r="B14" s="86" t="s">
        <v>13</v>
      </c>
      <c r="C14" s="21">
        <v>110668</v>
      </c>
      <c r="D14" s="43">
        <v>9021716</v>
      </c>
      <c r="E14" s="64">
        <v>65699</v>
      </c>
      <c r="F14" s="22">
        <v>3137775</v>
      </c>
      <c r="G14" s="23">
        <v>7287</v>
      </c>
      <c r="H14" s="24">
        <v>1124322</v>
      </c>
      <c r="I14" s="65">
        <v>15196</v>
      </c>
      <c r="J14" s="66">
        <v>1527694</v>
      </c>
      <c r="K14" s="23">
        <v>3001</v>
      </c>
      <c r="L14" s="24">
        <v>709906</v>
      </c>
      <c r="M14" s="21">
        <v>986</v>
      </c>
      <c r="N14" s="24">
        <v>319190</v>
      </c>
      <c r="O14" s="23">
        <v>268</v>
      </c>
      <c r="P14" s="24">
        <v>173234</v>
      </c>
      <c r="Q14" s="21">
        <v>181</v>
      </c>
      <c r="R14" s="24">
        <v>178894</v>
      </c>
      <c r="S14" s="23">
        <v>116</v>
      </c>
      <c r="T14" s="24">
        <v>38062</v>
      </c>
      <c r="U14" s="21">
        <v>2695</v>
      </c>
      <c r="V14" s="24">
        <v>400759</v>
      </c>
      <c r="W14" s="21">
        <v>9483</v>
      </c>
      <c r="X14" s="24">
        <v>327673</v>
      </c>
      <c r="Y14" s="21">
        <v>196</v>
      </c>
      <c r="Z14" s="24">
        <v>342030</v>
      </c>
      <c r="AA14" s="67">
        <v>5560</v>
      </c>
      <c r="AB14" s="66">
        <v>742177</v>
      </c>
    </row>
    <row r="15" spans="1:28" s="48" customFormat="1" ht="18.75" customHeight="1">
      <c r="A15" s="19" t="s">
        <v>62</v>
      </c>
      <c r="B15" s="86" t="s">
        <v>13</v>
      </c>
      <c r="C15" s="21">
        <v>130571</v>
      </c>
      <c r="D15" s="43">
        <v>12777794</v>
      </c>
      <c r="E15" s="64">
        <v>56430</v>
      </c>
      <c r="F15" s="22">
        <v>3445393</v>
      </c>
      <c r="G15" s="23">
        <v>5709</v>
      </c>
      <c r="H15" s="24">
        <v>1339390</v>
      </c>
      <c r="I15" s="65">
        <v>23207</v>
      </c>
      <c r="J15" s="66">
        <v>2204697</v>
      </c>
      <c r="K15" s="23">
        <v>8431</v>
      </c>
      <c r="L15" s="24">
        <v>1895592</v>
      </c>
      <c r="M15" s="21">
        <v>610</v>
      </c>
      <c r="N15" s="24">
        <v>220837</v>
      </c>
      <c r="O15" s="23">
        <v>431</v>
      </c>
      <c r="P15" s="24">
        <v>285937</v>
      </c>
      <c r="Q15" s="21">
        <v>166</v>
      </c>
      <c r="R15" s="24">
        <v>212345</v>
      </c>
      <c r="S15" s="23">
        <v>36</v>
      </c>
      <c r="T15" s="24">
        <v>22854</v>
      </c>
      <c r="U15" s="21">
        <v>9317</v>
      </c>
      <c r="V15" s="24">
        <v>791049</v>
      </c>
      <c r="W15" s="21">
        <v>20523</v>
      </c>
      <c r="X15" s="24">
        <v>1040849</v>
      </c>
      <c r="Y15" s="21">
        <v>120</v>
      </c>
      <c r="Z15" s="24">
        <v>176301</v>
      </c>
      <c r="AA15" s="67">
        <v>5591</v>
      </c>
      <c r="AB15" s="66">
        <v>1142550</v>
      </c>
    </row>
    <row r="16" spans="1:28" s="48" customFormat="1" ht="18.75" customHeight="1">
      <c r="A16" s="19" t="s">
        <v>61</v>
      </c>
      <c r="B16" s="86" t="s">
        <v>13</v>
      </c>
      <c r="C16" s="21">
        <v>114977</v>
      </c>
      <c r="D16" s="43">
        <v>12142655</v>
      </c>
      <c r="E16" s="64">
        <v>50726</v>
      </c>
      <c r="F16" s="22">
        <v>3216817</v>
      </c>
      <c r="G16" s="23">
        <v>6020</v>
      </c>
      <c r="H16" s="24">
        <v>1732939</v>
      </c>
      <c r="I16" s="65">
        <v>7166</v>
      </c>
      <c r="J16" s="66">
        <v>1226828</v>
      </c>
      <c r="K16" s="23">
        <v>8254</v>
      </c>
      <c r="L16" s="24">
        <v>2031081</v>
      </c>
      <c r="M16" s="21">
        <v>527</v>
      </c>
      <c r="N16" s="24">
        <v>210163</v>
      </c>
      <c r="O16" s="23">
        <v>151</v>
      </c>
      <c r="P16" s="24">
        <v>89239</v>
      </c>
      <c r="Q16" s="21">
        <v>177</v>
      </c>
      <c r="R16" s="24">
        <v>266286</v>
      </c>
      <c r="S16" s="23">
        <v>3</v>
      </c>
      <c r="T16" s="24">
        <v>1554</v>
      </c>
      <c r="U16" s="21">
        <v>10815</v>
      </c>
      <c r="V16" s="24">
        <v>721345</v>
      </c>
      <c r="W16" s="21">
        <v>28805</v>
      </c>
      <c r="X16" s="24">
        <v>1738868</v>
      </c>
      <c r="Y16" s="21">
        <v>252</v>
      </c>
      <c r="Z16" s="24">
        <v>301961</v>
      </c>
      <c r="AA16" s="67">
        <v>2081</v>
      </c>
      <c r="AB16" s="66">
        <v>605574</v>
      </c>
    </row>
    <row r="17" spans="1:28" s="82" customFormat="1" ht="18" customHeight="1">
      <c r="A17" s="19" t="s">
        <v>60</v>
      </c>
      <c r="B17" s="86" t="s">
        <v>13</v>
      </c>
      <c r="C17" s="21">
        <v>114207</v>
      </c>
      <c r="D17" s="43">
        <v>10099229</v>
      </c>
      <c r="E17" s="64">
        <v>39487</v>
      </c>
      <c r="F17" s="22">
        <v>2296624</v>
      </c>
      <c r="G17" s="23">
        <v>6378</v>
      </c>
      <c r="H17" s="24">
        <v>1563395</v>
      </c>
      <c r="I17" s="65">
        <v>5659</v>
      </c>
      <c r="J17" s="66">
        <v>1004696</v>
      </c>
      <c r="K17" s="23">
        <v>1468</v>
      </c>
      <c r="L17" s="24">
        <v>728045</v>
      </c>
      <c r="M17" s="21">
        <v>526</v>
      </c>
      <c r="N17" s="24">
        <v>230714</v>
      </c>
      <c r="O17" s="23">
        <v>138</v>
      </c>
      <c r="P17" s="24">
        <v>81800</v>
      </c>
      <c r="Q17" s="21">
        <v>117</v>
      </c>
      <c r="R17" s="24">
        <v>193017</v>
      </c>
      <c r="S17" s="23">
        <v>1</v>
      </c>
      <c r="T17" s="24">
        <v>984</v>
      </c>
      <c r="U17" s="21">
        <v>6661</v>
      </c>
      <c r="V17" s="24">
        <v>761320</v>
      </c>
      <c r="W17" s="21">
        <v>49471</v>
      </c>
      <c r="X17" s="24">
        <v>2096873</v>
      </c>
      <c r="Y17" s="21">
        <v>170</v>
      </c>
      <c r="Z17" s="24">
        <v>290996</v>
      </c>
      <c r="AA17" s="67">
        <v>4131</v>
      </c>
      <c r="AB17" s="66">
        <v>850765</v>
      </c>
    </row>
    <row r="18" spans="1:28" s="82" customFormat="1" ht="18" customHeight="1">
      <c r="A18" s="19" t="s">
        <v>59</v>
      </c>
      <c r="B18" s="86" t="s">
        <v>13</v>
      </c>
      <c r="C18" s="21">
        <v>139678</v>
      </c>
      <c r="D18" s="43">
        <v>10203667</v>
      </c>
      <c r="E18" s="38">
        <v>41087</v>
      </c>
      <c r="F18" s="22">
        <v>2165141</v>
      </c>
      <c r="G18" s="23">
        <v>7404</v>
      </c>
      <c r="H18" s="24">
        <v>1918351</v>
      </c>
      <c r="I18" s="65">
        <v>2740</v>
      </c>
      <c r="J18" s="66">
        <v>826415</v>
      </c>
      <c r="K18" s="23">
        <v>45</v>
      </c>
      <c r="L18" s="24">
        <v>13887</v>
      </c>
      <c r="M18" s="21">
        <v>665</v>
      </c>
      <c r="N18" s="24">
        <v>225402</v>
      </c>
      <c r="O18" s="23">
        <v>79</v>
      </c>
      <c r="P18" s="24">
        <v>51109</v>
      </c>
      <c r="Q18" s="21">
        <v>131</v>
      </c>
      <c r="R18" s="24">
        <v>256582</v>
      </c>
      <c r="S18" s="78">
        <v>0</v>
      </c>
      <c r="T18" s="24">
        <v>129</v>
      </c>
      <c r="U18" s="21">
        <v>7653</v>
      </c>
      <c r="V18" s="24">
        <v>659566</v>
      </c>
      <c r="W18" s="21">
        <v>76793</v>
      </c>
      <c r="X18" s="24">
        <v>3170909</v>
      </c>
      <c r="Y18" s="21">
        <v>100</v>
      </c>
      <c r="Z18" s="24">
        <v>204717</v>
      </c>
      <c r="AA18" s="67">
        <v>2981</v>
      </c>
      <c r="AB18" s="66">
        <v>711459</v>
      </c>
    </row>
    <row r="19" spans="1:28" s="82" customFormat="1" ht="18" customHeight="1">
      <c r="A19" s="19" t="s">
        <v>72</v>
      </c>
      <c r="B19" s="86" t="s">
        <v>13</v>
      </c>
      <c r="C19" s="21">
        <v>121878</v>
      </c>
      <c r="D19" s="43">
        <v>8238832</v>
      </c>
      <c r="E19" s="38">
        <v>31514</v>
      </c>
      <c r="F19" s="22">
        <v>2021680</v>
      </c>
      <c r="G19" s="23">
        <v>5258</v>
      </c>
      <c r="H19" s="24">
        <v>1205230</v>
      </c>
      <c r="I19" s="65">
        <v>5389</v>
      </c>
      <c r="J19" s="66">
        <v>895034</v>
      </c>
      <c r="K19" s="23">
        <v>117</v>
      </c>
      <c r="L19" s="24">
        <v>50272</v>
      </c>
      <c r="M19" s="21">
        <v>698</v>
      </c>
      <c r="N19" s="24">
        <v>206921</v>
      </c>
      <c r="O19" s="23">
        <v>103</v>
      </c>
      <c r="P19" s="24">
        <v>57670</v>
      </c>
      <c r="Q19" s="21">
        <v>92</v>
      </c>
      <c r="R19" s="24">
        <v>167817</v>
      </c>
      <c r="S19" s="23">
        <v>12</v>
      </c>
      <c r="T19" s="24">
        <v>1580</v>
      </c>
      <c r="U19" s="21">
        <v>1360</v>
      </c>
      <c r="V19" s="24">
        <v>209669</v>
      </c>
      <c r="W19" s="21">
        <v>72696</v>
      </c>
      <c r="X19" s="24">
        <v>2474585</v>
      </c>
      <c r="Y19" s="21">
        <v>144</v>
      </c>
      <c r="Z19" s="24">
        <v>154433</v>
      </c>
      <c r="AA19" s="67">
        <v>4495</v>
      </c>
      <c r="AB19" s="66">
        <v>793941</v>
      </c>
    </row>
    <row r="20" spans="1:28" s="82" customFormat="1" ht="18" customHeight="1">
      <c r="A20" s="19" t="s">
        <v>93</v>
      </c>
      <c r="B20" s="86" t="s">
        <v>13</v>
      </c>
      <c r="C20" s="21">
        <v>172268</v>
      </c>
      <c r="D20" s="43">
        <v>8330487</v>
      </c>
      <c r="E20" s="38">
        <v>30987</v>
      </c>
      <c r="F20" s="22">
        <v>1780141</v>
      </c>
      <c r="G20" s="23">
        <v>6024</v>
      </c>
      <c r="H20" s="24">
        <v>1196731</v>
      </c>
      <c r="I20" s="65">
        <v>1279</v>
      </c>
      <c r="J20" s="66">
        <v>298619</v>
      </c>
      <c r="K20" s="23">
        <v>112</v>
      </c>
      <c r="L20" s="24">
        <v>58728</v>
      </c>
      <c r="M20" s="21">
        <v>591</v>
      </c>
      <c r="N20" s="24">
        <v>141378</v>
      </c>
      <c r="O20" s="23">
        <v>51</v>
      </c>
      <c r="P20" s="24">
        <v>31680</v>
      </c>
      <c r="Q20" s="21">
        <v>95</v>
      </c>
      <c r="R20" s="24">
        <v>172561</v>
      </c>
      <c r="S20" s="80">
        <v>35</v>
      </c>
      <c r="T20" s="24">
        <v>16181</v>
      </c>
      <c r="U20" s="21">
        <v>423</v>
      </c>
      <c r="V20" s="24">
        <v>56195</v>
      </c>
      <c r="W20" s="21">
        <v>129235</v>
      </c>
      <c r="X20" s="24">
        <v>3852515</v>
      </c>
      <c r="Y20" s="21">
        <v>63</v>
      </c>
      <c r="Z20" s="24">
        <v>92086</v>
      </c>
      <c r="AA20" s="67">
        <v>3373</v>
      </c>
      <c r="AB20" s="66">
        <v>633672</v>
      </c>
    </row>
    <row r="21" spans="1:28" s="6" customFormat="1" ht="16.5" customHeight="1">
      <c r="A21" s="19" t="s">
        <v>94</v>
      </c>
      <c r="B21" s="86" t="s">
        <v>13</v>
      </c>
      <c r="C21" s="21">
        <v>191635</v>
      </c>
      <c r="D21" s="43">
        <v>8227253</v>
      </c>
      <c r="E21" s="64">
        <v>39446</v>
      </c>
      <c r="F21" s="24">
        <v>1736823</v>
      </c>
      <c r="G21" s="21">
        <v>6299</v>
      </c>
      <c r="H21" s="24">
        <v>1115469</v>
      </c>
      <c r="I21" s="21">
        <v>152</v>
      </c>
      <c r="J21" s="24">
        <v>64458</v>
      </c>
      <c r="K21" s="21">
        <v>502</v>
      </c>
      <c r="L21" s="24">
        <v>275387</v>
      </c>
      <c r="M21" s="21">
        <v>398</v>
      </c>
      <c r="N21" s="24">
        <v>128970</v>
      </c>
      <c r="O21" s="21">
        <v>22</v>
      </c>
      <c r="P21" s="24">
        <v>22091</v>
      </c>
      <c r="Q21" s="46">
        <v>50</v>
      </c>
      <c r="R21" s="24">
        <v>86691</v>
      </c>
      <c r="S21" s="46">
        <v>551</v>
      </c>
      <c r="T21" s="24">
        <v>66584</v>
      </c>
      <c r="U21" s="21">
        <v>230</v>
      </c>
      <c r="V21" s="24">
        <v>40765</v>
      </c>
      <c r="W21" s="21">
        <v>141983</v>
      </c>
      <c r="X21" s="24">
        <v>4167897</v>
      </c>
      <c r="Y21" s="21">
        <v>26</v>
      </c>
      <c r="Z21" s="24">
        <v>76352</v>
      </c>
      <c r="AA21" s="21">
        <v>1976</v>
      </c>
      <c r="AB21" s="24">
        <v>445766</v>
      </c>
    </row>
    <row r="22" spans="1:28" s="6" customFormat="1" ht="16.5" customHeight="1" thickBot="1">
      <c r="A22" s="13" t="s">
        <v>95</v>
      </c>
      <c r="B22" s="87" t="s">
        <v>13</v>
      </c>
      <c r="C22" s="15">
        <v>204499</v>
      </c>
      <c r="D22" s="42">
        <v>8860949</v>
      </c>
      <c r="E22" s="37">
        <v>44724</v>
      </c>
      <c r="F22" s="16">
        <v>1959976</v>
      </c>
      <c r="G22" s="17">
        <v>6009</v>
      </c>
      <c r="H22" s="18">
        <v>1068581</v>
      </c>
      <c r="I22" s="15">
        <v>115</v>
      </c>
      <c r="J22" s="18">
        <v>55723</v>
      </c>
      <c r="K22" s="17">
        <v>41</v>
      </c>
      <c r="L22" s="18">
        <v>11631</v>
      </c>
      <c r="M22" s="15">
        <v>323</v>
      </c>
      <c r="N22" s="18">
        <v>117495</v>
      </c>
      <c r="O22" s="17">
        <v>48</v>
      </c>
      <c r="P22" s="18">
        <v>27934</v>
      </c>
      <c r="Q22" s="47">
        <v>77</v>
      </c>
      <c r="R22" s="18">
        <v>141900</v>
      </c>
      <c r="S22" s="54">
        <v>167</v>
      </c>
      <c r="T22" s="18">
        <v>35916</v>
      </c>
      <c r="U22" s="15">
        <v>51</v>
      </c>
      <c r="V22" s="18">
        <v>5330</v>
      </c>
      <c r="W22" s="17">
        <v>151099</v>
      </c>
      <c r="X22" s="18">
        <v>4881821</v>
      </c>
      <c r="Y22" s="15">
        <v>36</v>
      </c>
      <c r="Z22" s="18">
        <v>160333</v>
      </c>
      <c r="AA22" s="17">
        <v>1809</v>
      </c>
      <c r="AB22" s="18">
        <v>394309</v>
      </c>
    </row>
    <row r="23" spans="1:28" s="6" customFormat="1" ht="16.5" customHeight="1" thickTop="1">
      <c r="A23" s="19" t="s">
        <v>95</v>
      </c>
      <c r="B23" s="20" t="s">
        <v>1</v>
      </c>
      <c r="C23" s="21">
        <v>3376</v>
      </c>
      <c r="D23" s="43">
        <v>298146</v>
      </c>
      <c r="E23" s="38">
        <v>2677</v>
      </c>
      <c r="F23" s="22">
        <v>144239</v>
      </c>
      <c r="G23" s="23">
        <v>622</v>
      </c>
      <c r="H23" s="24">
        <v>109617</v>
      </c>
      <c r="I23" s="21">
        <v>0</v>
      </c>
      <c r="J23" s="24">
        <v>0</v>
      </c>
      <c r="K23" s="23">
        <v>6</v>
      </c>
      <c r="L23" s="24">
        <v>2310</v>
      </c>
      <c r="M23" s="21">
        <v>18</v>
      </c>
      <c r="N23" s="24">
        <v>4642</v>
      </c>
      <c r="O23" s="23">
        <v>0</v>
      </c>
      <c r="P23" s="24">
        <v>0</v>
      </c>
      <c r="Q23" s="46">
        <v>3</v>
      </c>
      <c r="R23" s="24">
        <v>6271</v>
      </c>
      <c r="S23" s="45">
        <v>23</v>
      </c>
      <c r="T23" s="24">
        <v>5296</v>
      </c>
      <c r="U23" s="21">
        <v>0</v>
      </c>
      <c r="V23" s="24">
        <v>0</v>
      </c>
      <c r="W23" s="23">
        <v>0</v>
      </c>
      <c r="X23" s="24">
        <v>0</v>
      </c>
      <c r="Y23" s="21">
        <v>0</v>
      </c>
      <c r="Z23" s="24">
        <v>0</v>
      </c>
      <c r="AA23" s="23">
        <v>27</v>
      </c>
      <c r="AB23" s="24">
        <v>25771</v>
      </c>
    </row>
    <row r="24" spans="1:28" s="6" customFormat="1" ht="16.5" customHeight="1">
      <c r="A24" s="19"/>
      <c r="B24" s="20" t="s">
        <v>2</v>
      </c>
      <c r="C24" s="21">
        <v>4804</v>
      </c>
      <c r="D24" s="43">
        <v>328041</v>
      </c>
      <c r="E24" s="38">
        <v>4243</v>
      </c>
      <c r="F24" s="22">
        <v>215621</v>
      </c>
      <c r="G24" s="23">
        <v>464</v>
      </c>
      <c r="H24" s="24">
        <v>80137</v>
      </c>
      <c r="I24" s="21">
        <v>0</v>
      </c>
      <c r="J24" s="24">
        <v>0</v>
      </c>
      <c r="K24" s="23">
        <v>7</v>
      </c>
      <c r="L24" s="24">
        <v>1655</v>
      </c>
      <c r="M24" s="21">
        <v>19</v>
      </c>
      <c r="N24" s="24">
        <v>5755</v>
      </c>
      <c r="O24" s="23">
        <v>0</v>
      </c>
      <c r="P24" s="24">
        <v>0</v>
      </c>
      <c r="Q24" s="46">
        <v>6</v>
      </c>
      <c r="R24" s="24">
        <v>12493</v>
      </c>
      <c r="S24" s="45">
        <v>22</v>
      </c>
      <c r="T24" s="24">
        <v>5099</v>
      </c>
      <c r="U24" s="21">
        <v>0</v>
      </c>
      <c r="V24" s="24">
        <v>0</v>
      </c>
      <c r="W24" s="23">
        <v>0</v>
      </c>
      <c r="X24" s="24">
        <v>0</v>
      </c>
      <c r="Y24" s="21">
        <v>0</v>
      </c>
      <c r="Z24" s="24">
        <v>0</v>
      </c>
      <c r="AA24" s="23">
        <v>43</v>
      </c>
      <c r="AB24" s="24">
        <v>7281</v>
      </c>
    </row>
    <row r="25" spans="1:28" s="6" customFormat="1" ht="16.5" customHeight="1">
      <c r="A25" s="19"/>
      <c r="B25" s="20" t="s">
        <v>3</v>
      </c>
      <c r="C25" s="21">
        <v>5265</v>
      </c>
      <c r="D25" s="43">
        <v>369562</v>
      </c>
      <c r="E25" s="38">
        <v>4439</v>
      </c>
      <c r="F25" s="22">
        <v>212940</v>
      </c>
      <c r="G25" s="23">
        <v>702</v>
      </c>
      <c r="H25" s="24">
        <v>116275</v>
      </c>
      <c r="I25" s="21">
        <v>0</v>
      </c>
      <c r="J25" s="24">
        <v>0</v>
      </c>
      <c r="K25" s="23">
        <v>3</v>
      </c>
      <c r="L25" s="24">
        <v>745</v>
      </c>
      <c r="M25" s="21">
        <v>21</v>
      </c>
      <c r="N25" s="24">
        <v>6080</v>
      </c>
      <c r="O25" s="23">
        <v>0</v>
      </c>
      <c r="P25" s="24">
        <v>0</v>
      </c>
      <c r="Q25" s="21">
        <v>8</v>
      </c>
      <c r="R25" s="24">
        <v>14034</v>
      </c>
      <c r="S25" s="78">
        <v>48</v>
      </c>
      <c r="T25" s="24">
        <v>11558</v>
      </c>
      <c r="U25" s="21">
        <v>0</v>
      </c>
      <c r="V25" s="24">
        <v>0</v>
      </c>
      <c r="W25" s="23">
        <v>0</v>
      </c>
      <c r="X25" s="24">
        <v>0</v>
      </c>
      <c r="Y25" s="21">
        <v>0</v>
      </c>
      <c r="Z25" s="24">
        <v>0</v>
      </c>
      <c r="AA25" s="23">
        <v>44</v>
      </c>
      <c r="AB25" s="24">
        <v>7930</v>
      </c>
    </row>
    <row r="26" spans="1:28" s="6" customFormat="1" ht="16.5" customHeight="1">
      <c r="A26" s="19"/>
      <c r="B26" s="20" t="s">
        <v>4</v>
      </c>
      <c r="C26" s="21">
        <v>1513</v>
      </c>
      <c r="D26" s="43">
        <v>183598</v>
      </c>
      <c r="E26" s="38">
        <v>770</v>
      </c>
      <c r="F26" s="22">
        <v>39878</v>
      </c>
      <c r="G26" s="23">
        <v>494</v>
      </c>
      <c r="H26" s="24">
        <v>81280</v>
      </c>
      <c r="I26" s="68">
        <v>0</v>
      </c>
      <c r="J26" s="69">
        <v>0</v>
      </c>
      <c r="K26" s="23">
        <v>3</v>
      </c>
      <c r="L26" s="24">
        <v>893</v>
      </c>
      <c r="M26" s="21">
        <v>30</v>
      </c>
      <c r="N26" s="24">
        <v>10305</v>
      </c>
      <c r="O26" s="23">
        <v>3</v>
      </c>
      <c r="P26" s="24">
        <v>3199</v>
      </c>
      <c r="Q26" s="21">
        <v>11</v>
      </c>
      <c r="R26" s="24">
        <v>16627</v>
      </c>
      <c r="S26" s="78">
        <v>39</v>
      </c>
      <c r="T26" s="24">
        <v>8102</v>
      </c>
      <c r="U26" s="68">
        <v>0</v>
      </c>
      <c r="V26" s="69">
        <v>0</v>
      </c>
      <c r="W26" s="70">
        <v>0</v>
      </c>
      <c r="X26" s="69">
        <v>0</v>
      </c>
      <c r="Y26" s="68">
        <v>0</v>
      </c>
      <c r="Z26" s="69">
        <v>0</v>
      </c>
      <c r="AA26" s="23">
        <v>163</v>
      </c>
      <c r="AB26" s="24">
        <v>23314</v>
      </c>
    </row>
    <row r="27" spans="1:28" s="6" customFormat="1" ht="16.5" customHeight="1">
      <c r="A27" s="19"/>
      <c r="B27" s="20" t="s">
        <v>5</v>
      </c>
      <c r="C27" s="21">
        <v>4828</v>
      </c>
      <c r="D27" s="43">
        <v>383049</v>
      </c>
      <c r="E27" s="38">
        <v>3268</v>
      </c>
      <c r="F27" s="22">
        <v>137439</v>
      </c>
      <c r="G27" s="23">
        <v>958</v>
      </c>
      <c r="H27" s="24">
        <v>139974</v>
      </c>
      <c r="I27" s="21">
        <v>0</v>
      </c>
      <c r="J27" s="24">
        <v>0</v>
      </c>
      <c r="K27" s="23">
        <v>4</v>
      </c>
      <c r="L27" s="24">
        <v>847</v>
      </c>
      <c r="M27" s="21">
        <v>33</v>
      </c>
      <c r="N27" s="24">
        <v>10100</v>
      </c>
      <c r="O27" s="23">
        <v>37</v>
      </c>
      <c r="P27" s="24">
        <v>17650</v>
      </c>
      <c r="Q27" s="21">
        <v>19</v>
      </c>
      <c r="R27" s="24">
        <v>30473</v>
      </c>
      <c r="S27" s="78">
        <v>11</v>
      </c>
      <c r="T27" s="24">
        <v>1398</v>
      </c>
      <c r="U27" s="68">
        <v>0</v>
      </c>
      <c r="V27" s="24">
        <v>0</v>
      </c>
      <c r="W27" s="23">
        <v>2</v>
      </c>
      <c r="X27" s="24">
        <v>146</v>
      </c>
      <c r="Y27" s="21">
        <v>0</v>
      </c>
      <c r="Z27" s="24">
        <v>0</v>
      </c>
      <c r="AA27" s="23">
        <v>496</v>
      </c>
      <c r="AB27" s="24">
        <v>45022</v>
      </c>
    </row>
    <row r="28" spans="1:28" s="6" customFormat="1" ht="16.5" customHeight="1">
      <c r="A28" s="19"/>
      <c r="B28" s="20" t="s">
        <v>6</v>
      </c>
      <c r="C28" s="21">
        <v>5419</v>
      </c>
      <c r="D28" s="43">
        <v>214574</v>
      </c>
      <c r="E28" s="38">
        <v>495</v>
      </c>
      <c r="F28" s="22">
        <v>18765</v>
      </c>
      <c r="G28" s="23">
        <v>102</v>
      </c>
      <c r="H28" s="24">
        <v>20535</v>
      </c>
      <c r="I28" s="21">
        <v>0</v>
      </c>
      <c r="J28" s="24">
        <v>0</v>
      </c>
      <c r="K28" s="45">
        <v>0</v>
      </c>
      <c r="L28" s="24">
        <v>5</v>
      </c>
      <c r="M28" s="21">
        <v>12</v>
      </c>
      <c r="N28" s="24">
        <v>2448</v>
      </c>
      <c r="O28" s="23">
        <v>9</v>
      </c>
      <c r="P28" s="24">
        <v>7084</v>
      </c>
      <c r="Q28" s="53">
        <v>1</v>
      </c>
      <c r="R28" s="24">
        <v>2333</v>
      </c>
      <c r="S28" s="95">
        <v>3</v>
      </c>
      <c r="T28" s="24">
        <v>257</v>
      </c>
      <c r="U28" s="68">
        <v>0</v>
      </c>
      <c r="V28" s="24">
        <v>0</v>
      </c>
      <c r="W28" s="23">
        <v>4702</v>
      </c>
      <c r="X28" s="24">
        <v>150279</v>
      </c>
      <c r="Y28" s="21">
        <v>0</v>
      </c>
      <c r="Z28" s="24">
        <v>0</v>
      </c>
      <c r="AA28" s="23">
        <v>95</v>
      </c>
      <c r="AB28" s="24">
        <v>12868</v>
      </c>
    </row>
    <row r="29" spans="1:28" s="6" customFormat="1" ht="16.5" customHeight="1">
      <c r="A29" s="19"/>
      <c r="B29" s="20" t="s">
        <v>7</v>
      </c>
      <c r="C29" s="21">
        <v>45748</v>
      </c>
      <c r="D29" s="43">
        <v>1297478</v>
      </c>
      <c r="E29" s="38">
        <v>19</v>
      </c>
      <c r="F29" s="22">
        <v>645</v>
      </c>
      <c r="G29" s="23">
        <v>26</v>
      </c>
      <c r="H29" s="24">
        <v>4993</v>
      </c>
      <c r="I29" s="21">
        <v>0</v>
      </c>
      <c r="J29" s="24">
        <v>0</v>
      </c>
      <c r="K29" s="78">
        <v>0</v>
      </c>
      <c r="L29" s="24">
        <v>2</v>
      </c>
      <c r="M29" s="21">
        <v>4</v>
      </c>
      <c r="N29" s="24">
        <v>1027</v>
      </c>
      <c r="O29" s="23">
        <v>0</v>
      </c>
      <c r="P29" s="24">
        <v>0</v>
      </c>
      <c r="Q29" s="21">
        <v>3</v>
      </c>
      <c r="R29" s="24">
        <v>4526</v>
      </c>
      <c r="S29" s="95">
        <v>4</v>
      </c>
      <c r="T29" s="24">
        <v>326</v>
      </c>
      <c r="U29" s="21">
        <v>8</v>
      </c>
      <c r="V29" s="24">
        <v>387</v>
      </c>
      <c r="W29" s="21">
        <v>45600</v>
      </c>
      <c r="X29" s="24">
        <v>1274446</v>
      </c>
      <c r="Y29" s="21">
        <v>0</v>
      </c>
      <c r="Z29" s="24">
        <v>0</v>
      </c>
      <c r="AA29" s="23">
        <v>84</v>
      </c>
      <c r="AB29" s="24">
        <v>11126</v>
      </c>
    </row>
    <row r="30" spans="1:28" s="6" customFormat="1" ht="16.5" customHeight="1">
      <c r="A30" s="19"/>
      <c r="B30" s="20" t="s">
        <v>8</v>
      </c>
      <c r="C30" s="21">
        <v>4377</v>
      </c>
      <c r="D30" s="43">
        <v>151961</v>
      </c>
      <c r="E30" s="38">
        <v>5</v>
      </c>
      <c r="F30" s="22">
        <v>166</v>
      </c>
      <c r="G30" s="23">
        <v>15</v>
      </c>
      <c r="H30" s="24">
        <v>4375</v>
      </c>
      <c r="I30" s="21">
        <v>0</v>
      </c>
      <c r="J30" s="24">
        <v>0</v>
      </c>
      <c r="K30" s="21">
        <v>1</v>
      </c>
      <c r="L30" s="22">
        <v>393</v>
      </c>
      <c r="M30" s="21">
        <v>2</v>
      </c>
      <c r="N30" s="24">
        <v>474</v>
      </c>
      <c r="O30" s="23">
        <v>0</v>
      </c>
      <c r="P30" s="24">
        <v>0</v>
      </c>
      <c r="Q30" s="21">
        <v>1</v>
      </c>
      <c r="R30" s="24">
        <v>2635</v>
      </c>
      <c r="S30" s="95">
        <v>2</v>
      </c>
      <c r="T30" s="22">
        <v>207</v>
      </c>
      <c r="U30" s="68">
        <v>0</v>
      </c>
      <c r="V30" s="24">
        <v>0</v>
      </c>
      <c r="W30" s="23">
        <v>4295</v>
      </c>
      <c r="X30" s="24">
        <v>135057</v>
      </c>
      <c r="Y30" s="21">
        <v>0</v>
      </c>
      <c r="Z30" s="24">
        <v>0</v>
      </c>
      <c r="AA30" s="23">
        <v>56</v>
      </c>
      <c r="AB30" s="24">
        <v>8654</v>
      </c>
    </row>
    <row r="31" spans="1:28" s="6" customFormat="1" ht="16.5" customHeight="1">
      <c r="A31" s="19"/>
      <c r="B31" s="20" t="s">
        <v>9</v>
      </c>
      <c r="C31" s="21">
        <v>58208</v>
      </c>
      <c r="D31" s="43">
        <v>2254232</v>
      </c>
      <c r="E31" s="38">
        <v>10298</v>
      </c>
      <c r="F31" s="22">
        <v>341959</v>
      </c>
      <c r="G31" s="23">
        <v>715</v>
      </c>
      <c r="H31" s="24">
        <v>154385</v>
      </c>
      <c r="I31" s="21">
        <v>94</v>
      </c>
      <c r="J31" s="24">
        <v>42613</v>
      </c>
      <c r="K31" s="23">
        <v>5</v>
      </c>
      <c r="L31" s="24">
        <v>1097</v>
      </c>
      <c r="M31" s="21">
        <v>67</v>
      </c>
      <c r="N31" s="24">
        <v>18386</v>
      </c>
      <c r="O31" s="23">
        <v>0</v>
      </c>
      <c r="P31" s="24">
        <v>0</v>
      </c>
      <c r="Q31" s="21">
        <v>11</v>
      </c>
      <c r="R31" s="24">
        <v>20129</v>
      </c>
      <c r="S31" s="80">
        <v>9</v>
      </c>
      <c r="T31" s="22">
        <v>2123</v>
      </c>
      <c r="U31" s="68">
        <v>0</v>
      </c>
      <c r="V31" s="24">
        <v>0</v>
      </c>
      <c r="W31" s="23">
        <v>46572</v>
      </c>
      <c r="X31" s="24">
        <v>1545940</v>
      </c>
      <c r="Y31" s="80">
        <v>0</v>
      </c>
      <c r="Z31" s="24">
        <v>13</v>
      </c>
      <c r="AA31" s="23">
        <v>437</v>
      </c>
      <c r="AB31" s="24">
        <v>127587</v>
      </c>
    </row>
    <row r="32" spans="1:28" s="6" customFormat="1" ht="16.5" customHeight="1">
      <c r="A32" s="19"/>
      <c r="B32" s="20" t="s">
        <v>10</v>
      </c>
      <c r="C32" s="21">
        <v>57839</v>
      </c>
      <c r="D32" s="43">
        <v>2230753</v>
      </c>
      <c r="E32" s="38">
        <v>9606</v>
      </c>
      <c r="F32" s="22">
        <v>370971</v>
      </c>
      <c r="G32" s="23">
        <v>648</v>
      </c>
      <c r="H32" s="24">
        <v>104165</v>
      </c>
      <c r="I32" s="21">
        <v>21</v>
      </c>
      <c r="J32" s="24">
        <v>13110</v>
      </c>
      <c r="K32" s="23">
        <v>3</v>
      </c>
      <c r="L32" s="24">
        <v>721</v>
      </c>
      <c r="M32" s="21">
        <v>32</v>
      </c>
      <c r="N32" s="24">
        <v>9327</v>
      </c>
      <c r="O32" s="23">
        <v>0</v>
      </c>
      <c r="P32" s="24">
        <v>0</v>
      </c>
      <c r="Q32" s="21">
        <v>7</v>
      </c>
      <c r="R32" s="24">
        <v>14159</v>
      </c>
      <c r="S32" s="80">
        <v>4</v>
      </c>
      <c r="T32" s="24">
        <v>1018</v>
      </c>
      <c r="U32" s="46">
        <v>42</v>
      </c>
      <c r="V32" s="24">
        <v>4921</v>
      </c>
      <c r="W32" s="23">
        <v>47332</v>
      </c>
      <c r="X32" s="24">
        <v>1676859</v>
      </c>
      <c r="Y32" s="21">
        <v>0</v>
      </c>
      <c r="Z32" s="22">
        <v>104</v>
      </c>
      <c r="AA32" s="23">
        <v>144</v>
      </c>
      <c r="AB32" s="24">
        <v>35398</v>
      </c>
    </row>
    <row r="33" spans="1:28" s="6" customFormat="1" ht="16.5" customHeight="1">
      <c r="A33" s="19"/>
      <c r="B33" s="20" t="s">
        <v>11</v>
      </c>
      <c r="C33" s="21">
        <v>9616</v>
      </c>
      <c r="D33" s="43">
        <v>763097</v>
      </c>
      <c r="E33" s="38">
        <v>6101</v>
      </c>
      <c r="F33" s="22">
        <v>308341</v>
      </c>
      <c r="G33" s="23">
        <v>684</v>
      </c>
      <c r="H33" s="24">
        <v>131419</v>
      </c>
      <c r="I33" s="21">
        <v>0</v>
      </c>
      <c r="J33" s="24">
        <v>0</v>
      </c>
      <c r="K33" s="23">
        <v>4</v>
      </c>
      <c r="L33" s="24">
        <v>1275</v>
      </c>
      <c r="M33" s="21">
        <v>28</v>
      </c>
      <c r="N33" s="24">
        <v>19023</v>
      </c>
      <c r="O33" s="23">
        <v>0</v>
      </c>
      <c r="P33" s="24">
        <v>0</v>
      </c>
      <c r="Q33" s="21">
        <v>4</v>
      </c>
      <c r="R33" s="24">
        <v>9259</v>
      </c>
      <c r="S33" s="78">
        <v>1</v>
      </c>
      <c r="T33" s="24">
        <v>363</v>
      </c>
      <c r="U33" s="78">
        <v>0</v>
      </c>
      <c r="V33" s="24">
        <v>22</v>
      </c>
      <c r="W33" s="23">
        <v>2596</v>
      </c>
      <c r="X33" s="24">
        <v>99094</v>
      </c>
      <c r="Y33" s="21">
        <v>35</v>
      </c>
      <c r="Z33" s="24">
        <v>160216</v>
      </c>
      <c r="AA33" s="23">
        <v>163</v>
      </c>
      <c r="AB33" s="24">
        <v>34085</v>
      </c>
    </row>
    <row r="34" spans="1:28" s="6" customFormat="1" ht="16.5" customHeight="1">
      <c r="A34" s="25"/>
      <c r="B34" s="26" t="s">
        <v>12</v>
      </c>
      <c r="C34" s="33">
        <v>3506</v>
      </c>
      <c r="D34" s="44">
        <v>386458</v>
      </c>
      <c r="E34" s="39">
        <v>2803</v>
      </c>
      <c r="F34" s="34">
        <v>169012</v>
      </c>
      <c r="G34" s="31">
        <v>579</v>
      </c>
      <c r="H34" s="32">
        <v>121428</v>
      </c>
      <c r="I34" s="33">
        <v>0</v>
      </c>
      <c r="J34" s="32">
        <v>0</v>
      </c>
      <c r="K34" s="31">
        <v>6</v>
      </c>
      <c r="L34" s="32">
        <v>1689</v>
      </c>
      <c r="M34" s="33">
        <v>59</v>
      </c>
      <c r="N34" s="32">
        <v>29928</v>
      </c>
      <c r="O34" s="31">
        <v>0</v>
      </c>
      <c r="P34" s="32">
        <v>0</v>
      </c>
      <c r="Q34" s="33">
        <v>4</v>
      </c>
      <c r="R34" s="32">
        <v>8960</v>
      </c>
      <c r="S34" s="79">
        <v>0</v>
      </c>
      <c r="T34" s="32">
        <v>171</v>
      </c>
      <c r="U34" s="33">
        <v>0</v>
      </c>
      <c r="V34" s="32">
        <v>0</v>
      </c>
      <c r="W34" s="33">
        <v>0</v>
      </c>
      <c r="X34" s="32">
        <v>0</v>
      </c>
      <c r="Y34" s="33">
        <v>0</v>
      </c>
      <c r="Z34" s="32">
        <v>0</v>
      </c>
      <c r="AA34" s="31">
        <v>55</v>
      </c>
      <c r="AB34" s="32">
        <v>55270</v>
      </c>
    </row>
    <row r="35" spans="1:28" s="6" customFormat="1" ht="16.5" customHeight="1">
      <c r="A35" s="19" t="s">
        <v>96</v>
      </c>
      <c r="B35" s="20" t="s">
        <v>1</v>
      </c>
      <c r="C35" s="21">
        <v>3641</v>
      </c>
      <c r="D35" s="43">
        <v>303114</v>
      </c>
      <c r="E35" s="38">
        <v>3019</v>
      </c>
      <c r="F35" s="22">
        <v>167596</v>
      </c>
      <c r="G35" s="23">
        <v>512</v>
      </c>
      <c r="H35" s="24">
        <v>98840</v>
      </c>
      <c r="I35" s="21">
        <v>0</v>
      </c>
      <c r="J35" s="24">
        <v>0</v>
      </c>
      <c r="K35" s="23">
        <v>4</v>
      </c>
      <c r="L35" s="24">
        <v>1017</v>
      </c>
      <c r="M35" s="21">
        <v>30</v>
      </c>
      <c r="N35" s="24">
        <v>6402</v>
      </c>
      <c r="O35" s="23">
        <v>0</v>
      </c>
      <c r="P35" s="24">
        <v>0</v>
      </c>
      <c r="Q35" s="46">
        <v>1</v>
      </c>
      <c r="R35" s="24">
        <v>1851</v>
      </c>
      <c r="S35" s="45">
        <v>1</v>
      </c>
      <c r="T35" s="24">
        <v>401</v>
      </c>
      <c r="U35" s="21">
        <v>0</v>
      </c>
      <c r="V35" s="24">
        <v>0</v>
      </c>
      <c r="W35" s="21">
        <v>0</v>
      </c>
      <c r="X35" s="24">
        <v>0</v>
      </c>
      <c r="Y35" s="21">
        <v>0</v>
      </c>
      <c r="Z35" s="24">
        <v>0</v>
      </c>
      <c r="AA35" s="23">
        <v>74</v>
      </c>
      <c r="AB35" s="24">
        <v>27007</v>
      </c>
    </row>
    <row r="36" spans="1:28" s="6" customFormat="1" ht="16.5" customHeight="1">
      <c r="A36" s="19"/>
      <c r="B36" s="20" t="s">
        <v>2</v>
      </c>
      <c r="C36" s="21">
        <v>5763</v>
      </c>
      <c r="D36" s="43">
        <v>399781</v>
      </c>
      <c r="E36" s="38">
        <v>5304</v>
      </c>
      <c r="F36" s="22">
        <v>273119</v>
      </c>
      <c r="G36" s="23">
        <v>406</v>
      </c>
      <c r="H36" s="24">
        <v>107216</v>
      </c>
      <c r="I36" s="21">
        <v>0</v>
      </c>
      <c r="J36" s="24">
        <v>0</v>
      </c>
      <c r="K36" s="23">
        <v>4</v>
      </c>
      <c r="L36" s="24">
        <v>882</v>
      </c>
      <c r="M36" s="21">
        <v>22</v>
      </c>
      <c r="N36" s="24">
        <v>4931</v>
      </c>
      <c r="O36" s="23">
        <v>0</v>
      </c>
      <c r="P36" s="24">
        <v>0</v>
      </c>
      <c r="Q36" s="46">
        <v>2</v>
      </c>
      <c r="R36" s="24">
        <v>2627</v>
      </c>
      <c r="S36" s="45">
        <v>1</v>
      </c>
      <c r="T36" s="24">
        <v>586</v>
      </c>
      <c r="U36" s="21">
        <v>0</v>
      </c>
      <c r="V36" s="24">
        <v>0</v>
      </c>
      <c r="W36" s="23">
        <v>0</v>
      </c>
      <c r="X36" s="24">
        <v>0</v>
      </c>
      <c r="Y36" s="21">
        <v>0</v>
      </c>
      <c r="Z36" s="24">
        <v>0</v>
      </c>
      <c r="AA36" s="23">
        <v>24</v>
      </c>
      <c r="AB36" s="24">
        <v>10420</v>
      </c>
    </row>
    <row r="37" spans="1:28" s="6" customFormat="1" ht="16.5" customHeight="1">
      <c r="A37" s="19"/>
      <c r="B37" s="20" t="s">
        <v>3</v>
      </c>
      <c r="C37" s="21">
        <v>4933</v>
      </c>
      <c r="D37" s="43">
        <v>373979</v>
      </c>
      <c r="E37" s="38">
        <v>4321</v>
      </c>
      <c r="F37" s="22">
        <v>210325</v>
      </c>
      <c r="G37" s="23">
        <v>539</v>
      </c>
      <c r="H37" s="24">
        <v>135349</v>
      </c>
      <c r="I37" s="21">
        <v>0</v>
      </c>
      <c r="J37" s="24">
        <v>0</v>
      </c>
      <c r="K37" s="23">
        <v>3</v>
      </c>
      <c r="L37" s="24">
        <v>646</v>
      </c>
      <c r="M37" s="21">
        <v>34</v>
      </c>
      <c r="N37" s="24">
        <v>8614</v>
      </c>
      <c r="O37" s="23">
        <v>0</v>
      </c>
      <c r="P37" s="24">
        <v>0</v>
      </c>
      <c r="Q37" s="21">
        <v>4</v>
      </c>
      <c r="R37" s="24">
        <v>5697</v>
      </c>
      <c r="S37" s="78">
        <v>5</v>
      </c>
      <c r="T37" s="24">
        <v>2346</v>
      </c>
      <c r="U37" s="21">
        <v>0</v>
      </c>
      <c r="V37" s="24">
        <v>0</v>
      </c>
      <c r="W37" s="23">
        <v>0</v>
      </c>
      <c r="X37" s="24">
        <v>0</v>
      </c>
      <c r="Y37" s="21">
        <v>0</v>
      </c>
      <c r="Z37" s="24">
        <v>0</v>
      </c>
      <c r="AA37" s="23">
        <v>27</v>
      </c>
      <c r="AB37" s="24">
        <v>11002</v>
      </c>
    </row>
    <row r="38" spans="1:28" s="6" customFormat="1" ht="16.5" customHeight="1">
      <c r="A38" s="19"/>
      <c r="B38" s="20" t="s">
        <v>4</v>
      </c>
      <c r="C38" s="21">
        <v>1646</v>
      </c>
      <c r="D38" s="43">
        <v>215543</v>
      </c>
      <c r="E38" s="38">
        <v>887</v>
      </c>
      <c r="F38" s="22">
        <v>47913</v>
      </c>
      <c r="G38" s="23">
        <v>625</v>
      </c>
      <c r="H38" s="24">
        <v>125969</v>
      </c>
      <c r="I38" s="68">
        <v>0</v>
      </c>
      <c r="J38" s="69">
        <v>0</v>
      </c>
      <c r="K38" s="23">
        <v>3</v>
      </c>
      <c r="L38" s="24">
        <v>797</v>
      </c>
      <c r="M38" s="21">
        <v>35</v>
      </c>
      <c r="N38" s="24">
        <v>6576</v>
      </c>
      <c r="O38" s="23">
        <v>0</v>
      </c>
      <c r="P38" s="24">
        <v>0</v>
      </c>
      <c r="Q38" s="21">
        <v>8</v>
      </c>
      <c r="R38" s="24">
        <v>13388</v>
      </c>
      <c r="S38" s="78">
        <v>2</v>
      </c>
      <c r="T38" s="24">
        <v>427</v>
      </c>
      <c r="U38" s="68">
        <v>0</v>
      </c>
      <c r="V38" s="69">
        <v>0</v>
      </c>
      <c r="W38" s="70">
        <v>0</v>
      </c>
      <c r="X38" s="69">
        <v>0</v>
      </c>
      <c r="Y38" s="68">
        <v>0</v>
      </c>
      <c r="Z38" s="69">
        <v>0</v>
      </c>
      <c r="AA38" s="23">
        <v>86</v>
      </c>
      <c r="AB38" s="24">
        <v>20473</v>
      </c>
    </row>
    <row r="39" spans="1:28" s="6" customFormat="1" ht="16.5" customHeight="1">
      <c r="A39" s="19"/>
      <c r="B39" s="20" t="s">
        <v>5</v>
      </c>
      <c r="C39" s="21">
        <v>2439</v>
      </c>
      <c r="D39" s="43">
        <v>386682</v>
      </c>
      <c r="E39" s="38">
        <v>1093</v>
      </c>
      <c r="F39" s="22">
        <v>58510</v>
      </c>
      <c r="G39" s="23">
        <v>970</v>
      </c>
      <c r="H39" s="24">
        <v>227455</v>
      </c>
      <c r="I39" s="21">
        <v>0</v>
      </c>
      <c r="J39" s="24">
        <v>0</v>
      </c>
      <c r="K39" s="23">
        <v>4</v>
      </c>
      <c r="L39" s="24">
        <v>980</v>
      </c>
      <c r="M39" s="21">
        <v>29</v>
      </c>
      <c r="N39" s="24">
        <v>6007</v>
      </c>
      <c r="O39" s="23">
        <v>28</v>
      </c>
      <c r="P39" s="24">
        <v>17191</v>
      </c>
      <c r="Q39" s="21">
        <v>11</v>
      </c>
      <c r="R39" s="24">
        <v>17664</v>
      </c>
      <c r="S39" s="78">
        <v>7</v>
      </c>
      <c r="T39" s="24">
        <v>733</v>
      </c>
      <c r="U39" s="68">
        <v>0</v>
      </c>
      <c r="V39" s="24">
        <v>0</v>
      </c>
      <c r="W39" s="23">
        <v>0</v>
      </c>
      <c r="X39" s="24">
        <v>0</v>
      </c>
      <c r="Y39" s="21">
        <v>0</v>
      </c>
      <c r="Z39" s="24">
        <v>0</v>
      </c>
      <c r="AA39" s="23">
        <v>297</v>
      </c>
      <c r="AB39" s="24">
        <v>58142</v>
      </c>
    </row>
    <row r="40" spans="1:28" s="6" customFormat="1" ht="16.5" customHeight="1">
      <c r="A40" s="19"/>
      <c r="B40" s="20" t="s">
        <v>6</v>
      </c>
      <c r="C40" s="21">
        <v>4191</v>
      </c>
      <c r="D40" s="43">
        <v>243348</v>
      </c>
      <c r="E40" s="38">
        <v>99</v>
      </c>
      <c r="F40" s="22">
        <v>5266</v>
      </c>
      <c r="G40" s="23">
        <v>27</v>
      </c>
      <c r="H40" s="24">
        <v>9329</v>
      </c>
      <c r="I40" s="21">
        <v>0</v>
      </c>
      <c r="J40" s="24">
        <v>0</v>
      </c>
      <c r="K40" s="21">
        <v>0</v>
      </c>
      <c r="L40" s="24">
        <v>33</v>
      </c>
      <c r="M40" s="21">
        <v>13</v>
      </c>
      <c r="N40" s="24">
        <v>2668</v>
      </c>
      <c r="O40" s="23">
        <v>48</v>
      </c>
      <c r="P40" s="24">
        <v>27589</v>
      </c>
      <c r="Q40" s="53">
        <v>2</v>
      </c>
      <c r="R40" s="24">
        <v>4247</v>
      </c>
      <c r="S40" s="95">
        <v>0</v>
      </c>
      <c r="T40" s="24">
        <v>43</v>
      </c>
      <c r="U40" s="68">
        <v>0</v>
      </c>
      <c r="V40" s="24">
        <v>0</v>
      </c>
      <c r="W40" s="23">
        <v>3892</v>
      </c>
      <c r="X40" s="24">
        <v>163313</v>
      </c>
      <c r="Y40" s="21">
        <v>0</v>
      </c>
      <c r="Z40" s="24">
        <v>0</v>
      </c>
      <c r="AA40" s="23">
        <v>110</v>
      </c>
      <c r="AB40" s="24">
        <v>30860</v>
      </c>
    </row>
    <row r="41" spans="1:28" s="6" customFormat="1" ht="16.5" customHeight="1">
      <c r="A41" s="19"/>
      <c r="B41" s="20" t="s">
        <v>7</v>
      </c>
      <c r="C41" s="21">
        <v>35649</v>
      </c>
      <c r="D41" s="43">
        <v>1450656</v>
      </c>
      <c r="E41" s="38">
        <v>23</v>
      </c>
      <c r="F41" s="22">
        <v>799</v>
      </c>
      <c r="G41" s="23">
        <v>15</v>
      </c>
      <c r="H41" s="24">
        <v>3975</v>
      </c>
      <c r="I41" s="78">
        <v>0</v>
      </c>
      <c r="J41" s="24">
        <v>167</v>
      </c>
      <c r="K41" s="78">
        <v>0</v>
      </c>
      <c r="L41" s="24">
        <v>1</v>
      </c>
      <c r="M41" s="21">
        <v>10</v>
      </c>
      <c r="N41" s="24">
        <v>2778</v>
      </c>
      <c r="O41" s="23">
        <v>0</v>
      </c>
      <c r="P41" s="24">
        <v>0</v>
      </c>
      <c r="Q41" s="21">
        <v>2</v>
      </c>
      <c r="R41" s="24">
        <v>5481</v>
      </c>
      <c r="S41" s="95">
        <v>0</v>
      </c>
      <c r="T41" s="24">
        <v>9</v>
      </c>
      <c r="U41" s="68">
        <v>0</v>
      </c>
      <c r="V41" s="24">
        <v>0</v>
      </c>
      <c r="W41" s="21">
        <v>35535</v>
      </c>
      <c r="X41" s="24">
        <v>1416345</v>
      </c>
      <c r="Y41" s="21">
        <v>0</v>
      </c>
      <c r="Z41" s="24">
        <v>0</v>
      </c>
      <c r="AA41" s="23">
        <v>64</v>
      </c>
      <c r="AB41" s="24">
        <v>21101</v>
      </c>
    </row>
    <row r="42" spans="1:28" s="6" customFormat="1" ht="16.5" customHeight="1">
      <c r="A42" s="19"/>
      <c r="B42" s="20" t="s">
        <v>8</v>
      </c>
      <c r="C42" s="21">
        <v>13734</v>
      </c>
      <c r="D42" s="43">
        <v>617946</v>
      </c>
      <c r="E42" s="38">
        <v>6</v>
      </c>
      <c r="F42" s="22">
        <v>214</v>
      </c>
      <c r="G42" s="23">
        <v>2</v>
      </c>
      <c r="H42" s="24">
        <v>1049</v>
      </c>
      <c r="I42" s="21">
        <v>0</v>
      </c>
      <c r="J42" s="24">
        <v>0</v>
      </c>
      <c r="K42" s="78">
        <v>0</v>
      </c>
      <c r="L42" s="24">
        <v>135</v>
      </c>
      <c r="M42" s="21">
        <v>1</v>
      </c>
      <c r="N42" s="24">
        <v>365</v>
      </c>
      <c r="O42" s="23">
        <v>0</v>
      </c>
      <c r="P42" s="24">
        <v>0</v>
      </c>
      <c r="Q42" s="21">
        <v>2</v>
      </c>
      <c r="R42" s="24">
        <v>4228</v>
      </c>
      <c r="S42" s="95">
        <v>0</v>
      </c>
      <c r="T42" s="22">
        <v>26</v>
      </c>
      <c r="U42" s="68">
        <v>220</v>
      </c>
      <c r="V42" s="24">
        <v>12148</v>
      </c>
      <c r="W42" s="23">
        <v>13468</v>
      </c>
      <c r="X42" s="24">
        <v>585585</v>
      </c>
      <c r="Y42" s="21">
        <v>0</v>
      </c>
      <c r="Z42" s="24">
        <v>0</v>
      </c>
      <c r="AA42" s="23">
        <v>35</v>
      </c>
      <c r="AB42" s="24">
        <v>14196</v>
      </c>
    </row>
    <row r="43" spans="1:28" s="6" customFormat="1" ht="16.5" customHeight="1">
      <c r="A43" s="19"/>
      <c r="B43" s="20" t="s">
        <v>9</v>
      </c>
      <c r="C43" s="21">
        <v>44897</v>
      </c>
      <c r="D43" s="43">
        <v>2594213</v>
      </c>
      <c r="E43" s="38">
        <v>4823</v>
      </c>
      <c r="F43" s="22">
        <v>279733</v>
      </c>
      <c r="G43" s="23">
        <v>300</v>
      </c>
      <c r="H43" s="24">
        <v>121871</v>
      </c>
      <c r="I43" s="78">
        <v>0</v>
      </c>
      <c r="J43" s="24">
        <v>139</v>
      </c>
      <c r="K43" s="23">
        <v>284</v>
      </c>
      <c r="L43" s="24">
        <v>230422</v>
      </c>
      <c r="M43" s="21">
        <v>136</v>
      </c>
      <c r="N43" s="24">
        <v>30133</v>
      </c>
      <c r="O43" s="78">
        <v>0</v>
      </c>
      <c r="P43" s="24">
        <v>84</v>
      </c>
      <c r="Q43" s="21">
        <v>13</v>
      </c>
      <c r="R43" s="24">
        <v>27044</v>
      </c>
      <c r="S43" s="80">
        <v>4</v>
      </c>
      <c r="T43" s="22">
        <v>1206</v>
      </c>
      <c r="U43" s="68">
        <v>0</v>
      </c>
      <c r="V43" s="24">
        <v>0</v>
      </c>
      <c r="W43" s="23">
        <v>38827</v>
      </c>
      <c r="X43" s="24">
        <v>1721267</v>
      </c>
      <c r="Y43" s="80">
        <v>0</v>
      </c>
      <c r="Z43" s="24">
        <v>47</v>
      </c>
      <c r="AA43" s="23">
        <v>510</v>
      </c>
      <c r="AB43" s="24">
        <v>182267</v>
      </c>
    </row>
    <row r="44" spans="1:28" s="6" customFormat="1" ht="16.5" customHeight="1">
      <c r="A44" s="19"/>
      <c r="B44" s="20" t="s">
        <v>10</v>
      </c>
      <c r="C44" s="21">
        <v>45905</v>
      </c>
      <c r="D44" s="43">
        <v>2690545</v>
      </c>
      <c r="E44" s="38">
        <v>2892</v>
      </c>
      <c r="F44" s="22">
        <v>188061</v>
      </c>
      <c r="G44" s="23">
        <v>324</v>
      </c>
      <c r="H44" s="24">
        <v>84388</v>
      </c>
      <c r="I44" s="21">
        <v>24</v>
      </c>
      <c r="J44" s="24">
        <v>16283</v>
      </c>
      <c r="K44" s="23">
        <v>161</v>
      </c>
      <c r="L44" s="24">
        <v>148516</v>
      </c>
      <c r="M44" s="21">
        <v>100</v>
      </c>
      <c r="N44" s="24">
        <v>26024</v>
      </c>
      <c r="O44" s="78">
        <v>0</v>
      </c>
      <c r="P44" s="24">
        <v>53</v>
      </c>
      <c r="Q44" s="21">
        <v>12</v>
      </c>
      <c r="R44" s="24">
        <v>20599</v>
      </c>
      <c r="S44" s="80">
        <v>1</v>
      </c>
      <c r="T44" s="24">
        <v>342</v>
      </c>
      <c r="U44" s="46">
        <v>0</v>
      </c>
      <c r="V44" s="24">
        <v>4</v>
      </c>
      <c r="W44" s="23">
        <v>42008</v>
      </c>
      <c r="X44" s="24">
        <v>2115339</v>
      </c>
      <c r="Y44" s="80">
        <v>5</v>
      </c>
      <c r="Z44" s="24">
        <v>21351</v>
      </c>
      <c r="AA44" s="23">
        <v>378</v>
      </c>
      <c r="AB44" s="24">
        <v>69585</v>
      </c>
    </row>
    <row r="45" spans="1:28" s="6" customFormat="1" ht="16.5" customHeight="1">
      <c r="A45" s="19"/>
      <c r="B45" s="20" t="s">
        <v>11</v>
      </c>
      <c r="C45" s="21">
        <v>6295</v>
      </c>
      <c r="D45" s="43">
        <v>769799</v>
      </c>
      <c r="E45" s="38">
        <v>3445</v>
      </c>
      <c r="F45" s="22">
        <v>261692</v>
      </c>
      <c r="G45" s="23">
        <v>1249</v>
      </c>
      <c r="H45" s="24">
        <v>209922</v>
      </c>
      <c r="I45" s="21">
        <v>0</v>
      </c>
      <c r="J45" s="24">
        <v>0</v>
      </c>
      <c r="K45" s="23">
        <v>6</v>
      </c>
      <c r="L45" s="24">
        <v>2207</v>
      </c>
      <c r="M45" s="21">
        <v>33</v>
      </c>
      <c r="N45" s="24">
        <v>19685</v>
      </c>
      <c r="O45" s="23">
        <v>0</v>
      </c>
      <c r="P45" s="24">
        <v>0</v>
      </c>
      <c r="Q45" s="21">
        <v>13</v>
      </c>
      <c r="R45" s="24">
        <v>23590</v>
      </c>
      <c r="S45" s="78">
        <v>0</v>
      </c>
      <c r="T45" s="24">
        <v>43</v>
      </c>
      <c r="U45" s="78">
        <v>0</v>
      </c>
      <c r="V45" s="24">
        <v>1</v>
      </c>
      <c r="W45" s="23">
        <v>1133</v>
      </c>
      <c r="X45" s="24">
        <v>60554</v>
      </c>
      <c r="Y45" s="21">
        <v>41</v>
      </c>
      <c r="Z45" s="24">
        <v>157136</v>
      </c>
      <c r="AA45" s="23">
        <v>375</v>
      </c>
      <c r="AB45" s="24">
        <v>34969</v>
      </c>
    </row>
    <row r="46" spans="1:28" s="6" customFormat="1" ht="16.5" customHeight="1">
      <c r="A46" s="25"/>
      <c r="B46" s="26" t="s">
        <v>12</v>
      </c>
      <c r="C46" s="33">
        <v>3459</v>
      </c>
      <c r="D46" s="44">
        <v>491502</v>
      </c>
      <c r="E46" s="39">
        <v>2626</v>
      </c>
      <c r="F46" s="34">
        <v>218889</v>
      </c>
      <c r="G46" s="31">
        <v>700</v>
      </c>
      <c r="H46" s="32">
        <v>194315</v>
      </c>
      <c r="I46" s="33">
        <v>0</v>
      </c>
      <c r="J46" s="32">
        <v>0</v>
      </c>
      <c r="K46" s="31">
        <v>4</v>
      </c>
      <c r="L46" s="32">
        <v>1025</v>
      </c>
      <c r="M46" s="33">
        <v>39</v>
      </c>
      <c r="N46" s="32">
        <v>24325</v>
      </c>
      <c r="O46" s="31">
        <v>0</v>
      </c>
      <c r="P46" s="32">
        <v>0</v>
      </c>
      <c r="Q46" s="33">
        <v>5</v>
      </c>
      <c r="R46" s="32">
        <v>11259</v>
      </c>
      <c r="S46" s="79">
        <v>0</v>
      </c>
      <c r="T46" s="32">
        <v>28</v>
      </c>
      <c r="U46" s="33">
        <v>0</v>
      </c>
      <c r="V46" s="32">
        <v>0</v>
      </c>
      <c r="W46" s="33">
        <v>0</v>
      </c>
      <c r="X46" s="32">
        <v>0</v>
      </c>
      <c r="Y46" s="33">
        <v>0</v>
      </c>
      <c r="Z46" s="32">
        <v>0</v>
      </c>
      <c r="AA46" s="31">
        <v>85</v>
      </c>
      <c r="AB46" s="32">
        <v>41661</v>
      </c>
    </row>
    <row r="47" spans="1:4" s="74" customFormat="1" ht="16.5" customHeight="1" thickBot="1">
      <c r="A47" s="76" t="s">
        <v>57</v>
      </c>
      <c r="B47" s="77"/>
      <c r="C47" s="77"/>
      <c r="D47" s="77"/>
    </row>
    <row r="48" spans="1:28" s="72" customFormat="1" ht="13.5">
      <c r="A48" s="114" t="str">
        <f>"2022（令和4）年"&amp;COUNTA(E35:E46)&amp;"月迄"</f>
        <v>2022（令和4）年12月迄</v>
      </c>
      <c r="B48" s="115"/>
      <c r="C48" s="71">
        <f>SUM(C35:C46)+2</f>
        <v>172554</v>
      </c>
      <c r="D48" s="71">
        <f>SUM(D35:D46)-1</f>
        <v>10537107</v>
      </c>
      <c r="E48" s="71">
        <f>SUM(E35:E46)-1</f>
        <v>28537</v>
      </c>
      <c r="F48" s="71">
        <f>SUM(F35:F46)+1</f>
        <v>1712118</v>
      </c>
      <c r="G48" s="71">
        <f>SUM(G35:G46)</f>
        <v>5669</v>
      </c>
      <c r="H48" s="71">
        <f>SUM(H35:H46)</f>
        <v>1319678</v>
      </c>
      <c r="I48" s="107">
        <f>SUM(I35:I46)+1</f>
        <v>25</v>
      </c>
      <c r="J48" s="71">
        <f>SUM(J35:J46)</f>
        <v>16589</v>
      </c>
      <c r="K48" s="71">
        <f>SUM(K35:K46)</f>
        <v>473</v>
      </c>
      <c r="L48" s="71">
        <f>SUM(L35:L46)+1</f>
        <v>386662</v>
      </c>
      <c r="M48" s="71">
        <f>SUM(M35:M46)-1</f>
        <v>481</v>
      </c>
      <c r="N48" s="71">
        <f>SUM(N35:N46)-1</f>
        <v>138507</v>
      </c>
      <c r="O48" s="71">
        <f>SUM(O35:O46)+1</f>
        <v>77</v>
      </c>
      <c r="P48" s="71">
        <f>SUM(P35:P46)</f>
        <v>44917</v>
      </c>
      <c r="Q48" s="71">
        <f>SUM(Q35:Q46)</f>
        <v>75</v>
      </c>
      <c r="R48" s="98">
        <f>SUM(R35:R46)</f>
        <v>137675</v>
      </c>
      <c r="S48" s="98">
        <f>SUM(S35:S46)+2</f>
        <v>23</v>
      </c>
      <c r="T48" s="98">
        <f>SUM(T35:T46)</f>
        <v>6190</v>
      </c>
      <c r="U48" s="71">
        <f>SUM(U35:U46)+1</f>
        <v>221</v>
      </c>
      <c r="V48" s="71">
        <f>SUM(V35:V46)</f>
        <v>12153</v>
      </c>
      <c r="W48" s="71">
        <f>SUM(W35:W46)</f>
        <v>134863</v>
      </c>
      <c r="X48" s="71">
        <f>SUM(X35:X46)+1</f>
        <v>6062404</v>
      </c>
      <c r="Y48" s="71">
        <f>SUM(Y35:Y46)+1</f>
        <v>47</v>
      </c>
      <c r="Z48" s="71">
        <f>SUM(Z35:Z46)-1</f>
        <v>178533</v>
      </c>
      <c r="AA48" s="71">
        <f>SUM(AA35:AA46)-2</f>
        <v>2063</v>
      </c>
      <c r="AB48" s="88">
        <f>SUM(AB35:AB46)-2</f>
        <v>521681</v>
      </c>
    </row>
    <row r="49" spans="1:28" s="74" customFormat="1" ht="13.5" customHeight="1">
      <c r="A49" s="116" t="str">
        <f>"前年"&amp;COUNTA(E35:E46)&amp;"月迄"</f>
        <v>前年12月迄</v>
      </c>
      <c r="B49" s="117"/>
      <c r="C49" s="73">
        <f ca="1">SUM(C23:(INDIRECT("c"&amp;COUNT($J35:$J46)+22)))</f>
        <v>204499</v>
      </c>
      <c r="D49" s="73">
        <f ca="1">SUM(D23:(INDIRECT("ｄ"&amp;COUNT($J35:$J46)+22)))</f>
        <v>8860949</v>
      </c>
      <c r="E49" s="73">
        <f ca="1">SUM(E23:(INDIRECT("e"&amp;COUNT($J35:$J46)+22)))</f>
        <v>44724</v>
      </c>
      <c r="F49" s="73">
        <f ca="1">SUM(F23:(INDIRECT("f"&amp;COUNT($J35:$J46)+22)))</f>
        <v>1959976</v>
      </c>
      <c r="G49" s="73">
        <f ca="1">SUM(G23:(INDIRECT("g"&amp;COUNT($J35:$J46)+22)))</f>
        <v>6009</v>
      </c>
      <c r="H49" s="73">
        <f ca="1">SUM(H23:(INDIRECT("h"&amp;COUNT($J35:$J46)+22)))-2</f>
        <v>1068581</v>
      </c>
      <c r="I49" s="73">
        <f ca="1">SUM(I23:(INDIRECT("i"&amp;COUNT($J35:$J46)+22)))</f>
        <v>115</v>
      </c>
      <c r="J49" s="73">
        <f ca="1">SUM(J23:(INDIRECT("j"&amp;COUNT($J35:$J46)+22)))</f>
        <v>55723</v>
      </c>
      <c r="K49" s="73">
        <f ca="1">SUM(K23:(INDIRECT("k"&amp;COUNT($J35:$J46)+22)))-1</f>
        <v>41</v>
      </c>
      <c r="L49" s="73">
        <f ca="1">SUM(L23:(INDIRECT("l"&amp;COUNT($J35:$J46)+22)))-1</f>
        <v>11631</v>
      </c>
      <c r="M49" s="73">
        <f ca="1">SUM(M23:(INDIRECT("m"&amp;COUNT($J35:$J46)+22)))-2</f>
        <v>323</v>
      </c>
      <c r="N49" s="73">
        <f ca="1">SUM(N23:(INDIRECT("n"&amp;COUNT($J35:$J46)+22)))</f>
        <v>117495</v>
      </c>
      <c r="O49" s="73">
        <f ca="1">SUM(O23:(INDIRECT("o"&amp;COUNT($J35:$J46)+22)))-1</f>
        <v>48</v>
      </c>
      <c r="P49" s="73">
        <f ca="1">SUM(P23:(INDIRECT("p"&amp;COUNT($J35:$J46)+22)))+1</f>
        <v>27934</v>
      </c>
      <c r="Q49" s="73">
        <f ca="1">SUM(Q23:(INDIRECT("q"&amp;COUNT($J35:$J46)+22)))-1</f>
        <v>77</v>
      </c>
      <c r="R49" s="73">
        <f ca="1">SUM(R23:(INDIRECT("r"&amp;COUNT($J35:$J46)+22)))+1</f>
        <v>141900</v>
      </c>
      <c r="S49" s="73">
        <f ca="1">SUM(S23:(INDIRECT("s"&amp;COUNT($J35:$J46)+22)))+1</f>
        <v>167</v>
      </c>
      <c r="T49" s="73">
        <f ca="1">SUM(T23:(INDIRECT("t"&amp;COUNT($J35:$J46)+22)))-2</f>
        <v>35916</v>
      </c>
      <c r="U49" s="106">
        <f ca="1">SUM(U23:(INDIRECT("u"&amp;COUNT($J35:$J46)+22)))+1</f>
        <v>51</v>
      </c>
      <c r="V49" s="73">
        <f ca="1">SUM(V23:(INDIRECT("v"&amp;COUNT($J35:$J46)+22)))</f>
        <v>5330</v>
      </c>
      <c r="W49" s="73">
        <f ca="1">SUM(W23:(INDIRECT("w"&amp;COUNT($J35:$J46)+22)))</f>
        <v>151099</v>
      </c>
      <c r="X49" s="73">
        <f ca="1">SUM(X23:(INDIRECT("x"&amp;COUNT($J35:$J46)+22)))</f>
        <v>4881821</v>
      </c>
      <c r="Y49" s="108">
        <f ca="1">SUM(Y23:(INDIRECT("y"&amp;COUNT($J35:$J46)+22)))+1</f>
        <v>36</v>
      </c>
      <c r="Z49" s="73">
        <f ca="1">SUM(Z23:(INDIRECT("z"&amp;COUNT($J35:$J46)+22)))</f>
        <v>160333</v>
      </c>
      <c r="AA49" s="73">
        <f ca="1">SUM(AA23:(INDIRECT("aa"&amp;COUNT($J35:$J46)+22)))+2</f>
        <v>1809</v>
      </c>
      <c r="AB49" s="89">
        <f ca="1">SUM(AB23:(INDIRECT("ab"&amp;COUNT($J35:$J46)+22)))+3</f>
        <v>394309</v>
      </c>
    </row>
    <row r="50" spans="1:28" s="74" customFormat="1" ht="14.25" thickBot="1">
      <c r="A50" s="118" t="s">
        <v>56</v>
      </c>
      <c r="B50" s="119"/>
      <c r="C50" s="75">
        <f>C48-C49</f>
        <v>-31945</v>
      </c>
      <c r="D50" s="75">
        <f aca="true" t="shared" si="0" ref="D50:Z50">D48-D49</f>
        <v>1676158</v>
      </c>
      <c r="E50" s="75">
        <f>E48-E49</f>
        <v>-16187</v>
      </c>
      <c r="F50" s="75">
        <f t="shared" si="0"/>
        <v>-247858</v>
      </c>
      <c r="G50" s="75">
        <f t="shared" si="0"/>
        <v>-340</v>
      </c>
      <c r="H50" s="75">
        <f>H48-H49</f>
        <v>251097</v>
      </c>
      <c r="I50" s="75">
        <f t="shared" si="0"/>
        <v>-90</v>
      </c>
      <c r="J50" s="75">
        <f t="shared" si="0"/>
        <v>-39134</v>
      </c>
      <c r="K50" s="75">
        <f t="shared" si="0"/>
        <v>432</v>
      </c>
      <c r="L50" s="75">
        <f t="shared" si="0"/>
        <v>375031</v>
      </c>
      <c r="M50" s="75">
        <f t="shared" si="0"/>
        <v>158</v>
      </c>
      <c r="N50" s="75">
        <f t="shared" si="0"/>
        <v>21012</v>
      </c>
      <c r="O50" s="75">
        <f t="shared" si="0"/>
        <v>29</v>
      </c>
      <c r="P50" s="75">
        <f t="shared" si="0"/>
        <v>16983</v>
      </c>
      <c r="Q50" s="75">
        <f t="shared" si="0"/>
        <v>-2</v>
      </c>
      <c r="R50" s="101">
        <f t="shared" si="0"/>
        <v>-4225</v>
      </c>
      <c r="S50" s="102">
        <f>S48-S49</f>
        <v>-144</v>
      </c>
      <c r="T50" s="101">
        <f t="shared" si="0"/>
        <v>-29726</v>
      </c>
      <c r="U50" s="75">
        <f>U48-U49</f>
        <v>170</v>
      </c>
      <c r="V50" s="75">
        <f t="shared" si="0"/>
        <v>6823</v>
      </c>
      <c r="W50" s="75">
        <f t="shared" si="0"/>
        <v>-16236</v>
      </c>
      <c r="X50" s="75">
        <f t="shared" si="0"/>
        <v>1180583</v>
      </c>
      <c r="Y50" s="75">
        <f t="shared" si="0"/>
        <v>11</v>
      </c>
      <c r="Z50" s="75">
        <f t="shared" si="0"/>
        <v>18200</v>
      </c>
      <c r="AA50" s="75">
        <f>AA48-AA49</f>
        <v>254</v>
      </c>
      <c r="AB50" s="90">
        <f>AB48-AB49</f>
        <v>127372</v>
      </c>
    </row>
    <row r="51" s="6" customFormat="1" ht="16.5" customHeight="1">
      <c r="A51" s="6" t="s">
        <v>19</v>
      </c>
    </row>
    <row r="52" s="6" customFormat="1" ht="16.5" customHeight="1">
      <c r="A52" s="6" t="s">
        <v>20</v>
      </c>
    </row>
    <row r="53" s="1" customFormat="1" ht="15" customHeight="1"/>
    <row r="54" spans="3:28" ht="13.5"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</row>
  </sheetData>
  <sheetProtection/>
  <mergeCells count="17">
    <mergeCell ref="Y4:Z4"/>
    <mergeCell ref="AA4:AB4"/>
    <mergeCell ref="A48:B48"/>
    <mergeCell ref="A49:B49"/>
    <mergeCell ref="A50:B50"/>
    <mergeCell ref="M4:N4"/>
    <mergeCell ref="O4:P4"/>
    <mergeCell ref="Q4:R4"/>
    <mergeCell ref="S4:T4"/>
    <mergeCell ref="U4:V4"/>
    <mergeCell ref="W4:X4"/>
    <mergeCell ref="A4:B5"/>
    <mergeCell ref="C4:D4"/>
    <mergeCell ref="E4:F4"/>
    <mergeCell ref="G4:H4"/>
    <mergeCell ref="I4:J4"/>
    <mergeCell ref="K4:L4"/>
  </mergeCells>
  <conditionalFormatting sqref="C49:R49 V49:X49 C50:AB50 T48:AB48 C48:H48 J48:R48 Z49:AB49">
    <cfRule type="cellIs" priority="2" dxfId="12" operator="equal" stopIfTrue="1">
      <formula>0</formula>
    </cfRule>
  </conditionalFormatting>
  <conditionalFormatting sqref="S48">
    <cfRule type="cellIs" priority="1" dxfId="12" operator="equal" stopIfTrue="1">
      <formula>0</formula>
    </cfRule>
  </conditionalFormatting>
  <printOptions/>
  <pageMargins left="0.75" right="0.75" top="1" bottom="1" header="0.512" footer="0.512"/>
  <pageSetup fitToWidth="0" fitToHeight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7.59765625" style="56" customWidth="1"/>
    <col min="2" max="2" width="5.5" style="56" customWidth="1"/>
    <col min="3" max="3" width="11.8984375" style="56" customWidth="1"/>
    <col min="4" max="4" width="13.5" style="56" customWidth="1"/>
    <col min="5" max="5" width="8.59765625" style="56" customWidth="1"/>
    <col min="6" max="6" width="11.8984375" style="56" customWidth="1"/>
    <col min="7" max="7" width="8.59765625" style="56" customWidth="1"/>
    <col min="8" max="8" width="11.8984375" style="56" customWidth="1"/>
    <col min="9" max="9" width="8.59765625" style="56" customWidth="1"/>
    <col min="10" max="10" width="11.8984375" style="56" customWidth="1"/>
    <col min="11" max="11" width="8.59765625" style="56" customWidth="1"/>
    <col min="12" max="12" width="11.8984375" style="56" customWidth="1"/>
    <col min="13" max="13" width="8.59765625" style="56" customWidth="1"/>
    <col min="14" max="14" width="11.8984375" style="56" customWidth="1"/>
    <col min="15" max="15" width="8.59765625" style="56" customWidth="1"/>
    <col min="16" max="16" width="11.8984375" style="56" customWidth="1"/>
    <col min="17" max="17" width="8.59765625" style="56" customWidth="1"/>
    <col min="18" max="18" width="11.8984375" style="56" customWidth="1"/>
    <col min="19" max="19" width="8.59765625" style="56" customWidth="1"/>
    <col min="20" max="20" width="11.8984375" style="56" customWidth="1"/>
    <col min="21" max="21" width="8.59765625" style="56" customWidth="1"/>
    <col min="22" max="22" width="11.8984375" style="56" customWidth="1"/>
    <col min="23" max="23" width="10.5" style="56" bestFit="1" customWidth="1"/>
    <col min="24" max="24" width="11.8984375" style="56" customWidth="1"/>
    <col min="25" max="25" width="8.59765625" style="56" customWidth="1"/>
    <col min="26" max="26" width="11.8984375" style="56" customWidth="1"/>
    <col min="27" max="27" width="8.59765625" style="56" customWidth="1"/>
    <col min="28" max="28" width="11.8984375" style="56" customWidth="1"/>
    <col min="29" max="16384" width="9" style="56" customWidth="1"/>
  </cols>
  <sheetData>
    <row r="1" spans="1:4" ht="16.5" customHeight="1">
      <c r="A1" s="5" t="s">
        <v>91</v>
      </c>
      <c r="C1" s="5"/>
      <c r="D1" s="5"/>
    </row>
    <row r="2" ht="13.5" customHeight="1"/>
    <row r="3" s="6" customFormat="1" ht="16.5" customHeight="1">
      <c r="A3" s="6" t="s">
        <v>31</v>
      </c>
    </row>
    <row r="4" spans="1:28" s="6" customFormat="1" ht="18.75" customHeight="1">
      <c r="A4" s="120" t="s">
        <v>18</v>
      </c>
      <c r="B4" s="121"/>
      <c r="C4" s="124" t="s">
        <v>0</v>
      </c>
      <c r="D4" s="125"/>
      <c r="E4" s="126" t="s">
        <v>14</v>
      </c>
      <c r="F4" s="113"/>
      <c r="G4" s="112" t="s">
        <v>21</v>
      </c>
      <c r="H4" s="113"/>
      <c r="I4" s="112" t="s">
        <v>22</v>
      </c>
      <c r="J4" s="113"/>
      <c r="K4" s="112" t="s">
        <v>23</v>
      </c>
      <c r="L4" s="113"/>
      <c r="M4" s="112" t="s">
        <v>24</v>
      </c>
      <c r="N4" s="113"/>
      <c r="O4" s="112" t="s">
        <v>15</v>
      </c>
      <c r="P4" s="113"/>
      <c r="Q4" s="112" t="s">
        <v>25</v>
      </c>
      <c r="R4" s="113"/>
      <c r="S4" s="112" t="s">
        <v>26</v>
      </c>
      <c r="T4" s="113"/>
      <c r="U4" s="112" t="s">
        <v>27</v>
      </c>
      <c r="V4" s="113"/>
      <c r="W4" s="112" t="s">
        <v>28</v>
      </c>
      <c r="X4" s="113"/>
      <c r="Y4" s="112" t="s">
        <v>29</v>
      </c>
      <c r="Z4" s="113"/>
      <c r="AA4" s="112" t="s">
        <v>30</v>
      </c>
      <c r="AB4" s="113"/>
    </row>
    <row r="5" spans="1:28" s="6" customFormat="1" ht="18.75" customHeight="1">
      <c r="A5" s="122"/>
      <c r="B5" s="123"/>
      <c r="C5" s="7" t="s">
        <v>16</v>
      </c>
      <c r="D5" s="40" t="s">
        <v>17</v>
      </c>
      <c r="E5" s="35" t="s">
        <v>16</v>
      </c>
      <c r="F5" s="10" t="s">
        <v>17</v>
      </c>
      <c r="G5" s="7" t="s">
        <v>16</v>
      </c>
      <c r="H5" s="8" t="s">
        <v>17</v>
      </c>
      <c r="I5" s="9" t="s">
        <v>16</v>
      </c>
      <c r="J5" s="10" t="s">
        <v>17</v>
      </c>
      <c r="K5" s="7" t="s">
        <v>16</v>
      </c>
      <c r="L5" s="8" t="s">
        <v>17</v>
      </c>
      <c r="M5" s="9" t="s">
        <v>16</v>
      </c>
      <c r="N5" s="10" t="s">
        <v>17</v>
      </c>
      <c r="O5" s="7" t="s">
        <v>16</v>
      </c>
      <c r="P5" s="8" t="s">
        <v>17</v>
      </c>
      <c r="Q5" s="9" t="s">
        <v>16</v>
      </c>
      <c r="R5" s="8" t="s">
        <v>17</v>
      </c>
      <c r="S5" s="7" t="s">
        <v>16</v>
      </c>
      <c r="T5" s="8" t="s">
        <v>17</v>
      </c>
      <c r="U5" s="9" t="s">
        <v>16</v>
      </c>
      <c r="V5" s="10" t="s">
        <v>17</v>
      </c>
      <c r="W5" s="7" t="s">
        <v>16</v>
      </c>
      <c r="X5" s="8" t="s">
        <v>17</v>
      </c>
      <c r="Y5" s="9" t="s">
        <v>16</v>
      </c>
      <c r="Z5" s="8" t="s">
        <v>17</v>
      </c>
      <c r="AA5" s="7" t="s">
        <v>16</v>
      </c>
      <c r="AB5" s="8" t="s">
        <v>17</v>
      </c>
    </row>
    <row r="6" spans="1:28" s="6" customFormat="1" ht="18.75" customHeight="1">
      <c r="A6" s="11" t="s">
        <v>71</v>
      </c>
      <c r="B6" s="85" t="s">
        <v>13</v>
      </c>
      <c r="C6" s="29">
        <v>114577</v>
      </c>
      <c r="D6" s="41">
        <v>11911835</v>
      </c>
      <c r="E6" s="36">
        <v>53813</v>
      </c>
      <c r="F6" s="30">
        <v>3896698</v>
      </c>
      <c r="G6" s="27">
        <v>3869</v>
      </c>
      <c r="H6" s="28">
        <v>966494</v>
      </c>
      <c r="I6" s="29">
        <v>28526</v>
      </c>
      <c r="J6" s="28">
        <v>1985504</v>
      </c>
      <c r="K6" s="27">
        <v>3602</v>
      </c>
      <c r="L6" s="28">
        <v>587516</v>
      </c>
      <c r="M6" s="29">
        <v>1345</v>
      </c>
      <c r="N6" s="28">
        <v>705161</v>
      </c>
      <c r="O6" s="27">
        <v>1579</v>
      </c>
      <c r="P6" s="28">
        <v>856075</v>
      </c>
      <c r="Q6" s="29">
        <v>118</v>
      </c>
      <c r="R6" s="28">
        <v>212500</v>
      </c>
      <c r="S6" s="27">
        <v>741</v>
      </c>
      <c r="T6" s="28">
        <v>140828</v>
      </c>
      <c r="U6" s="29">
        <v>3364</v>
      </c>
      <c r="V6" s="28">
        <v>78773</v>
      </c>
      <c r="W6" s="27">
        <v>2280</v>
      </c>
      <c r="X6" s="28">
        <v>43754</v>
      </c>
      <c r="Y6" s="29">
        <v>251</v>
      </c>
      <c r="Z6" s="28">
        <v>257030</v>
      </c>
      <c r="AA6" s="27">
        <v>15089</v>
      </c>
      <c r="AB6" s="28">
        <v>2181502</v>
      </c>
    </row>
    <row r="7" spans="1:28" s="6" customFormat="1" ht="18.75" customHeight="1">
      <c r="A7" s="19" t="s">
        <v>70</v>
      </c>
      <c r="B7" s="86" t="s">
        <v>13</v>
      </c>
      <c r="C7" s="21">
        <v>137948</v>
      </c>
      <c r="D7" s="43">
        <v>14562957</v>
      </c>
      <c r="E7" s="38">
        <v>55786</v>
      </c>
      <c r="F7" s="22">
        <v>4489157</v>
      </c>
      <c r="G7" s="23">
        <v>3310</v>
      </c>
      <c r="H7" s="24">
        <v>992926</v>
      </c>
      <c r="I7" s="21">
        <v>27899</v>
      </c>
      <c r="J7" s="24">
        <v>2081572</v>
      </c>
      <c r="K7" s="23">
        <v>3869</v>
      </c>
      <c r="L7" s="24">
        <v>893617</v>
      </c>
      <c r="M7" s="21">
        <v>1490</v>
      </c>
      <c r="N7" s="24">
        <v>754333</v>
      </c>
      <c r="O7" s="23">
        <v>1487</v>
      </c>
      <c r="P7" s="24">
        <v>916744</v>
      </c>
      <c r="Q7" s="21">
        <v>108</v>
      </c>
      <c r="R7" s="24">
        <v>195023</v>
      </c>
      <c r="S7" s="23">
        <v>725</v>
      </c>
      <c r="T7" s="24">
        <v>89569</v>
      </c>
      <c r="U7" s="21">
        <v>1891</v>
      </c>
      <c r="V7" s="24">
        <v>144705</v>
      </c>
      <c r="W7" s="23">
        <v>16112</v>
      </c>
      <c r="X7" s="24">
        <v>382795</v>
      </c>
      <c r="Y7" s="46">
        <v>360</v>
      </c>
      <c r="Z7" s="24">
        <v>326991</v>
      </c>
      <c r="AA7" s="23">
        <v>24912</v>
      </c>
      <c r="AB7" s="24">
        <v>3295525</v>
      </c>
    </row>
    <row r="8" spans="1:28" s="6" customFormat="1" ht="18.75" customHeight="1">
      <c r="A8" s="19" t="s">
        <v>69</v>
      </c>
      <c r="B8" s="86" t="s">
        <v>13</v>
      </c>
      <c r="C8" s="21">
        <v>107569</v>
      </c>
      <c r="D8" s="43">
        <v>12723109</v>
      </c>
      <c r="E8" s="38">
        <v>50408</v>
      </c>
      <c r="F8" s="22">
        <v>4285036</v>
      </c>
      <c r="G8" s="23">
        <v>3511</v>
      </c>
      <c r="H8" s="24">
        <v>1040834</v>
      </c>
      <c r="I8" s="21">
        <v>34098</v>
      </c>
      <c r="J8" s="24">
        <v>2522079</v>
      </c>
      <c r="K8" s="23">
        <v>4992</v>
      </c>
      <c r="L8" s="24">
        <v>660467</v>
      </c>
      <c r="M8" s="21">
        <v>1176</v>
      </c>
      <c r="N8" s="24">
        <v>718806</v>
      </c>
      <c r="O8" s="23">
        <v>1422</v>
      </c>
      <c r="P8" s="24">
        <v>853981</v>
      </c>
      <c r="Q8" s="21">
        <v>103</v>
      </c>
      <c r="R8" s="24">
        <v>171971</v>
      </c>
      <c r="S8" s="23">
        <v>482</v>
      </c>
      <c r="T8" s="24">
        <v>114497</v>
      </c>
      <c r="U8" s="21">
        <v>794</v>
      </c>
      <c r="V8" s="24">
        <v>72318</v>
      </c>
      <c r="W8" s="23">
        <v>52</v>
      </c>
      <c r="X8" s="24">
        <v>2180</v>
      </c>
      <c r="Y8" s="46">
        <v>250</v>
      </c>
      <c r="Z8" s="24">
        <v>366073</v>
      </c>
      <c r="AA8" s="23">
        <v>10282</v>
      </c>
      <c r="AB8" s="24">
        <v>1914866</v>
      </c>
    </row>
    <row r="9" spans="1:28" s="6" customFormat="1" ht="18.75" customHeight="1">
      <c r="A9" s="19" t="s">
        <v>68</v>
      </c>
      <c r="B9" s="86" t="s">
        <v>13</v>
      </c>
      <c r="C9" s="21">
        <v>125679</v>
      </c>
      <c r="D9" s="43">
        <v>15281221</v>
      </c>
      <c r="E9" s="38">
        <v>66253</v>
      </c>
      <c r="F9" s="22">
        <v>6179462</v>
      </c>
      <c r="G9" s="23">
        <v>3669</v>
      </c>
      <c r="H9" s="24">
        <v>1200338</v>
      </c>
      <c r="I9" s="21">
        <v>30698</v>
      </c>
      <c r="J9" s="24">
        <v>2575115</v>
      </c>
      <c r="K9" s="23">
        <v>1852</v>
      </c>
      <c r="L9" s="24">
        <v>257255</v>
      </c>
      <c r="M9" s="21">
        <v>972</v>
      </c>
      <c r="N9" s="24">
        <v>586883</v>
      </c>
      <c r="O9" s="23">
        <v>1462</v>
      </c>
      <c r="P9" s="24">
        <v>895714</v>
      </c>
      <c r="Q9" s="21">
        <v>32</v>
      </c>
      <c r="R9" s="24">
        <v>54093</v>
      </c>
      <c r="S9" s="23">
        <v>233</v>
      </c>
      <c r="T9" s="24">
        <v>70889</v>
      </c>
      <c r="U9" s="21">
        <v>19</v>
      </c>
      <c r="V9" s="24">
        <v>2464</v>
      </c>
      <c r="W9" s="23">
        <v>681</v>
      </c>
      <c r="X9" s="24">
        <v>20030</v>
      </c>
      <c r="Y9" s="46">
        <v>102</v>
      </c>
      <c r="Z9" s="24">
        <v>191992</v>
      </c>
      <c r="AA9" s="23">
        <v>19706</v>
      </c>
      <c r="AB9" s="24">
        <v>3246986</v>
      </c>
    </row>
    <row r="10" spans="1:28" s="6" customFormat="1" ht="18.75" customHeight="1">
      <c r="A10" s="19" t="s">
        <v>67</v>
      </c>
      <c r="B10" s="86" t="s">
        <v>13</v>
      </c>
      <c r="C10" s="21">
        <v>128052</v>
      </c>
      <c r="D10" s="43">
        <v>12154590</v>
      </c>
      <c r="E10" s="38">
        <v>55825</v>
      </c>
      <c r="F10" s="22">
        <v>3325149</v>
      </c>
      <c r="G10" s="23">
        <v>3603</v>
      </c>
      <c r="H10" s="24">
        <v>926514</v>
      </c>
      <c r="I10" s="21">
        <v>28797</v>
      </c>
      <c r="J10" s="24">
        <v>2548975</v>
      </c>
      <c r="K10" s="23">
        <v>4772</v>
      </c>
      <c r="L10" s="24">
        <v>619477</v>
      </c>
      <c r="M10" s="21">
        <v>863</v>
      </c>
      <c r="N10" s="24">
        <v>414570</v>
      </c>
      <c r="O10" s="23">
        <v>1019</v>
      </c>
      <c r="P10" s="24">
        <v>615953</v>
      </c>
      <c r="Q10" s="21">
        <v>72</v>
      </c>
      <c r="R10" s="24">
        <v>121419</v>
      </c>
      <c r="S10" s="23">
        <v>958</v>
      </c>
      <c r="T10" s="24">
        <v>176614</v>
      </c>
      <c r="U10" s="21">
        <v>0</v>
      </c>
      <c r="V10" s="24">
        <v>0</v>
      </c>
      <c r="W10" s="23">
        <v>7138</v>
      </c>
      <c r="X10" s="24">
        <v>123775</v>
      </c>
      <c r="Y10" s="46">
        <v>252</v>
      </c>
      <c r="Z10" s="24">
        <v>250170</v>
      </c>
      <c r="AA10" s="23">
        <v>24753</v>
      </c>
      <c r="AB10" s="24">
        <v>3031974</v>
      </c>
    </row>
    <row r="11" spans="1:28" s="6" customFormat="1" ht="18.75" customHeight="1">
      <c r="A11" s="19" t="s">
        <v>66</v>
      </c>
      <c r="B11" s="86" t="s">
        <v>13</v>
      </c>
      <c r="C11" s="21">
        <v>113990</v>
      </c>
      <c r="D11" s="43">
        <v>11357761</v>
      </c>
      <c r="E11" s="38">
        <v>64240</v>
      </c>
      <c r="F11" s="22">
        <v>4297828</v>
      </c>
      <c r="G11" s="23">
        <v>4715</v>
      </c>
      <c r="H11" s="24">
        <v>1228507</v>
      </c>
      <c r="I11" s="21">
        <v>18531</v>
      </c>
      <c r="J11" s="24">
        <v>2052722</v>
      </c>
      <c r="K11" s="23">
        <v>3085</v>
      </c>
      <c r="L11" s="24">
        <v>713613</v>
      </c>
      <c r="M11" s="21">
        <v>866</v>
      </c>
      <c r="N11" s="24">
        <v>331092</v>
      </c>
      <c r="O11" s="23">
        <v>1282</v>
      </c>
      <c r="P11" s="24">
        <v>899729</v>
      </c>
      <c r="Q11" s="21">
        <v>58</v>
      </c>
      <c r="R11" s="24">
        <v>75496</v>
      </c>
      <c r="S11" s="23">
        <v>429</v>
      </c>
      <c r="T11" s="24">
        <v>88209</v>
      </c>
      <c r="U11" s="21">
        <v>250</v>
      </c>
      <c r="V11" s="24">
        <v>9225</v>
      </c>
      <c r="W11" s="23">
        <v>14742</v>
      </c>
      <c r="X11" s="24">
        <v>356297</v>
      </c>
      <c r="Y11" s="46">
        <v>271</v>
      </c>
      <c r="Z11" s="24">
        <v>190923</v>
      </c>
      <c r="AA11" s="23">
        <v>5521</v>
      </c>
      <c r="AB11" s="24">
        <v>1114120</v>
      </c>
    </row>
    <row r="12" spans="1:28" s="6" customFormat="1" ht="18.75" customHeight="1">
      <c r="A12" s="19" t="s">
        <v>65</v>
      </c>
      <c r="B12" s="86" t="s">
        <v>13</v>
      </c>
      <c r="C12" s="21">
        <v>119641</v>
      </c>
      <c r="D12" s="43">
        <v>9969801</v>
      </c>
      <c r="E12" s="38">
        <v>69584</v>
      </c>
      <c r="F12" s="22">
        <v>2931896</v>
      </c>
      <c r="G12" s="23">
        <v>5691</v>
      </c>
      <c r="H12" s="24">
        <v>1426392</v>
      </c>
      <c r="I12" s="21">
        <v>28277</v>
      </c>
      <c r="J12" s="24">
        <v>2446794</v>
      </c>
      <c r="K12" s="23">
        <v>6271</v>
      </c>
      <c r="L12" s="24">
        <v>1119647</v>
      </c>
      <c r="M12" s="21">
        <v>1303</v>
      </c>
      <c r="N12" s="24">
        <v>482612</v>
      </c>
      <c r="O12" s="23">
        <v>853</v>
      </c>
      <c r="P12" s="24">
        <v>549834</v>
      </c>
      <c r="Q12" s="21">
        <v>97</v>
      </c>
      <c r="R12" s="24">
        <v>92703</v>
      </c>
      <c r="S12" s="23">
        <v>248</v>
      </c>
      <c r="T12" s="24">
        <v>65418</v>
      </c>
      <c r="U12" s="21">
        <v>13</v>
      </c>
      <c r="V12" s="24">
        <v>2146</v>
      </c>
      <c r="W12" s="23">
        <v>3727</v>
      </c>
      <c r="X12" s="24">
        <v>76854</v>
      </c>
      <c r="Y12" s="46">
        <v>138</v>
      </c>
      <c r="Z12" s="24">
        <v>137147</v>
      </c>
      <c r="AA12" s="23">
        <v>3439</v>
      </c>
      <c r="AB12" s="24">
        <v>638358</v>
      </c>
    </row>
    <row r="13" spans="1:28" s="6" customFormat="1" ht="18.75" customHeight="1">
      <c r="A13" s="19" t="s">
        <v>64</v>
      </c>
      <c r="B13" s="86" t="s">
        <v>13</v>
      </c>
      <c r="C13" s="21">
        <v>110258</v>
      </c>
      <c r="D13" s="43">
        <v>8839453</v>
      </c>
      <c r="E13" s="64">
        <v>58421</v>
      </c>
      <c r="F13" s="22">
        <v>2986632</v>
      </c>
      <c r="G13" s="23">
        <v>6652</v>
      </c>
      <c r="H13" s="24">
        <v>1281557</v>
      </c>
      <c r="I13" s="65">
        <v>23683</v>
      </c>
      <c r="J13" s="66">
        <v>1484421</v>
      </c>
      <c r="K13" s="23">
        <v>6664</v>
      </c>
      <c r="L13" s="24">
        <v>963214</v>
      </c>
      <c r="M13" s="21">
        <v>1155</v>
      </c>
      <c r="N13" s="24">
        <v>444008</v>
      </c>
      <c r="O13" s="23">
        <v>504</v>
      </c>
      <c r="P13" s="24">
        <v>237111</v>
      </c>
      <c r="Q13" s="21">
        <v>104</v>
      </c>
      <c r="R13" s="24">
        <v>96695</v>
      </c>
      <c r="S13" s="23">
        <v>47</v>
      </c>
      <c r="T13" s="24">
        <v>11308</v>
      </c>
      <c r="U13" s="21">
        <v>2410</v>
      </c>
      <c r="V13" s="24">
        <v>181592</v>
      </c>
      <c r="W13" s="46">
        <v>3162</v>
      </c>
      <c r="X13" s="24">
        <v>77658</v>
      </c>
      <c r="Y13" s="46">
        <v>192</v>
      </c>
      <c r="Z13" s="24">
        <v>321608</v>
      </c>
      <c r="AA13" s="67">
        <v>7264</v>
      </c>
      <c r="AB13" s="66">
        <v>753649</v>
      </c>
    </row>
    <row r="14" spans="1:28" s="48" customFormat="1" ht="18.75" customHeight="1">
      <c r="A14" s="19" t="s">
        <v>63</v>
      </c>
      <c r="B14" s="86" t="s">
        <v>13</v>
      </c>
      <c r="C14" s="21">
        <v>110668</v>
      </c>
      <c r="D14" s="43">
        <v>9021716</v>
      </c>
      <c r="E14" s="64">
        <v>65699</v>
      </c>
      <c r="F14" s="22">
        <v>3137775</v>
      </c>
      <c r="G14" s="23">
        <v>7287</v>
      </c>
      <c r="H14" s="24">
        <v>1124322</v>
      </c>
      <c r="I14" s="65">
        <v>15196</v>
      </c>
      <c r="J14" s="66">
        <v>1527694</v>
      </c>
      <c r="K14" s="23">
        <v>3001</v>
      </c>
      <c r="L14" s="24">
        <v>709906</v>
      </c>
      <c r="M14" s="21">
        <v>986</v>
      </c>
      <c r="N14" s="24">
        <v>319190</v>
      </c>
      <c r="O14" s="23">
        <v>268</v>
      </c>
      <c r="P14" s="24">
        <v>173234</v>
      </c>
      <c r="Q14" s="21">
        <v>181</v>
      </c>
      <c r="R14" s="24">
        <v>178894</v>
      </c>
      <c r="S14" s="23">
        <v>116</v>
      </c>
      <c r="T14" s="24">
        <v>38062</v>
      </c>
      <c r="U14" s="21">
        <v>2695</v>
      </c>
      <c r="V14" s="24">
        <v>400759</v>
      </c>
      <c r="W14" s="21">
        <v>9483</v>
      </c>
      <c r="X14" s="24">
        <v>327673</v>
      </c>
      <c r="Y14" s="21">
        <v>196</v>
      </c>
      <c r="Z14" s="24">
        <v>342030</v>
      </c>
      <c r="AA14" s="67">
        <v>5560</v>
      </c>
      <c r="AB14" s="66">
        <v>742177</v>
      </c>
    </row>
    <row r="15" spans="1:28" s="48" customFormat="1" ht="18.75" customHeight="1">
      <c r="A15" s="19" t="s">
        <v>62</v>
      </c>
      <c r="B15" s="86" t="s">
        <v>13</v>
      </c>
      <c r="C15" s="21">
        <v>130571</v>
      </c>
      <c r="D15" s="43">
        <v>12777794</v>
      </c>
      <c r="E15" s="64">
        <v>56430</v>
      </c>
      <c r="F15" s="22">
        <v>3445393</v>
      </c>
      <c r="G15" s="23">
        <v>5709</v>
      </c>
      <c r="H15" s="24">
        <v>1339390</v>
      </c>
      <c r="I15" s="65">
        <v>23207</v>
      </c>
      <c r="J15" s="66">
        <v>2204697</v>
      </c>
      <c r="K15" s="23">
        <v>8431</v>
      </c>
      <c r="L15" s="24">
        <v>1895592</v>
      </c>
      <c r="M15" s="21">
        <v>610</v>
      </c>
      <c r="N15" s="24">
        <v>220837</v>
      </c>
      <c r="O15" s="23">
        <v>431</v>
      </c>
      <c r="P15" s="24">
        <v>285937</v>
      </c>
      <c r="Q15" s="21">
        <v>166</v>
      </c>
      <c r="R15" s="24">
        <v>212345</v>
      </c>
      <c r="S15" s="23">
        <v>36</v>
      </c>
      <c r="T15" s="24">
        <v>22854</v>
      </c>
      <c r="U15" s="21">
        <v>9317</v>
      </c>
      <c r="V15" s="24">
        <v>791049</v>
      </c>
      <c r="W15" s="21">
        <v>20523</v>
      </c>
      <c r="X15" s="24">
        <v>1040849</v>
      </c>
      <c r="Y15" s="21">
        <v>120</v>
      </c>
      <c r="Z15" s="24">
        <v>176301</v>
      </c>
      <c r="AA15" s="67">
        <v>5591</v>
      </c>
      <c r="AB15" s="66">
        <v>1142550</v>
      </c>
    </row>
    <row r="16" spans="1:28" s="48" customFormat="1" ht="18.75" customHeight="1">
      <c r="A16" s="19" t="s">
        <v>61</v>
      </c>
      <c r="B16" s="86" t="s">
        <v>13</v>
      </c>
      <c r="C16" s="21">
        <v>114977</v>
      </c>
      <c r="D16" s="43">
        <v>12142655</v>
      </c>
      <c r="E16" s="64">
        <v>50726</v>
      </c>
      <c r="F16" s="22">
        <v>3216817</v>
      </c>
      <c r="G16" s="23">
        <v>6020</v>
      </c>
      <c r="H16" s="24">
        <v>1732939</v>
      </c>
      <c r="I16" s="65">
        <v>7166</v>
      </c>
      <c r="J16" s="66">
        <v>1226828</v>
      </c>
      <c r="K16" s="23">
        <v>8254</v>
      </c>
      <c r="L16" s="24">
        <v>2031081</v>
      </c>
      <c r="M16" s="21">
        <v>527</v>
      </c>
      <c r="N16" s="24">
        <v>210163</v>
      </c>
      <c r="O16" s="23">
        <v>151</v>
      </c>
      <c r="P16" s="24">
        <v>89239</v>
      </c>
      <c r="Q16" s="21">
        <v>177</v>
      </c>
      <c r="R16" s="24">
        <v>266286</v>
      </c>
      <c r="S16" s="23">
        <v>3</v>
      </c>
      <c r="T16" s="24">
        <v>1554</v>
      </c>
      <c r="U16" s="21">
        <v>10815</v>
      </c>
      <c r="V16" s="24">
        <v>721345</v>
      </c>
      <c r="W16" s="21">
        <v>28805</v>
      </c>
      <c r="X16" s="24">
        <v>1738868</v>
      </c>
      <c r="Y16" s="21">
        <v>252</v>
      </c>
      <c r="Z16" s="24">
        <v>301961</v>
      </c>
      <c r="AA16" s="67">
        <v>2081</v>
      </c>
      <c r="AB16" s="66">
        <v>605574</v>
      </c>
    </row>
    <row r="17" spans="1:28" s="82" customFormat="1" ht="18" customHeight="1">
      <c r="A17" s="19" t="s">
        <v>60</v>
      </c>
      <c r="B17" s="86" t="s">
        <v>13</v>
      </c>
      <c r="C17" s="21">
        <v>114207</v>
      </c>
      <c r="D17" s="43">
        <v>10099229</v>
      </c>
      <c r="E17" s="64">
        <v>39487</v>
      </c>
      <c r="F17" s="22">
        <v>2296624</v>
      </c>
      <c r="G17" s="23">
        <v>6378</v>
      </c>
      <c r="H17" s="24">
        <v>1563395</v>
      </c>
      <c r="I17" s="65">
        <v>5659</v>
      </c>
      <c r="J17" s="66">
        <v>1004696</v>
      </c>
      <c r="K17" s="23">
        <v>1468</v>
      </c>
      <c r="L17" s="24">
        <v>728045</v>
      </c>
      <c r="M17" s="21">
        <v>526</v>
      </c>
      <c r="N17" s="24">
        <v>230714</v>
      </c>
      <c r="O17" s="23">
        <v>138</v>
      </c>
      <c r="P17" s="24">
        <v>81800</v>
      </c>
      <c r="Q17" s="21">
        <v>117</v>
      </c>
      <c r="R17" s="24">
        <v>193017</v>
      </c>
      <c r="S17" s="23">
        <v>1</v>
      </c>
      <c r="T17" s="24">
        <v>984</v>
      </c>
      <c r="U17" s="21">
        <v>6661</v>
      </c>
      <c r="V17" s="24">
        <v>761320</v>
      </c>
      <c r="W17" s="21">
        <v>49471</v>
      </c>
      <c r="X17" s="24">
        <v>2096873</v>
      </c>
      <c r="Y17" s="21">
        <v>170</v>
      </c>
      <c r="Z17" s="24">
        <v>290996</v>
      </c>
      <c r="AA17" s="67">
        <v>4131</v>
      </c>
      <c r="AB17" s="66">
        <v>850765</v>
      </c>
    </row>
    <row r="18" spans="1:28" s="82" customFormat="1" ht="18" customHeight="1">
      <c r="A18" s="19" t="s">
        <v>59</v>
      </c>
      <c r="B18" s="86" t="s">
        <v>13</v>
      </c>
      <c r="C18" s="21">
        <v>139678</v>
      </c>
      <c r="D18" s="43">
        <v>10203667</v>
      </c>
      <c r="E18" s="38">
        <v>41087</v>
      </c>
      <c r="F18" s="22">
        <v>2165141</v>
      </c>
      <c r="G18" s="23">
        <v>7404</v>
      </c>
      <c r="H18" s="24">
        <v>1918351</v>
      </c>
      <c r="I18" s="65">
        <v>2740</v>
      </c>
      <c r="J18" s="66">
        <v>826415</v>
      </c>
      <c r="K18" s="23">
        <v>45</v>
      </c>
      <c r="L18" s="24">
        <v>13887</v>
      </c>
      <c r="M18" s="21">
        <v>665</v>
      </c>
      <c r="N18" s="24">
        <v>225402</v>
      </c>
      <c r="O18" s="23">
        <v>79</v>
      </c>
      <c r="P18" s="24">
        <v>51109</v>
      </c>
      <c r="Q18" s="21">
        <v>131</v>
      </c>
      <c r="R18" s="24">
        <v>256582</v>
      </c>
      <c r="S18" s="78">
        <v>0</v>
      </c>
      <c r="T18" s="24">
        <v>129</v>
      </c>
      <c r="U18" s="21">
        <v>7653</v>
      </c>
      <c r="V18" s="24">
        <v>659566</v>
      </c>
      <c r="W18" s="21">
        <v>76793</v>
      </c>
      <c r="X18" s="24">
        <v>3170909</v>
      </c>
      <c r="Y18" s="21">
        <v>100</v>
      </c>
      <c r="Z18" s="24">
        <v>204717</v>
      </c>
      <c r="AA18" s="67">
        <v>2981</v>
      </c>
      <c r="AB18" s="66">
        <v>711459</v>
      </c>
    </row>
    <row r="19" spans="1:28" s="82" customFormat="1" ht="18" customHeight="1">
      <c r="A19" s="19" t="s">
        <v>72</v>
      </c>
      <c r="B19" s="86" t="s">
        <v>13</v>
      </c>
      <c r="C19" s="21">
        <v>121878</v>
      </c>
      <c r="D19" s="43">
        <v>8238832</v>
      </c>
      <c r="E19" s="38">
        <v>31514</v>
      </c>
      <c r="F19" s="22">
        <v>2021680</v>
      </c>
      <c r="G19" s="23">
        <v>5258</v>
      </c>
      <c r="H19" s="24">
        <v>1205230</v>
      </c>
      <c r="I19" s="65">
        <v>5389</v>
      </c>
      <c r="J19" s="66">
        <v>895034</v>
      </c>
      <c r="K19" s="23">
        <v>117</v>
      </c>
      <c r="L19" s="24">
        <v>50272</v>
      </c>
      <c r="M19" s="21">
        <v>698</v>
      </c>
      <c r="N19" s="24">
        <v>206921</v>
      </c>
      <c r="O19" s="23">
        <v>103</v>
      </c>
      <c r="P19" s="24">
        <v>57670</v>
      </c>
      <c r="Q19" s="21">
        <v>92</v>
      </c>
      <c r="R19" s="24">
        <v>167817</v>
      </c>
      <c r="S19" s="23">
        <v>12</v>
      </c>
      <c r="T19" s="24">
        <v>1580</v>
      </c>
      <c r="U19" s="21">
        <v>1360</v>
      </c>
      <c r="V19" s="24">
        <v>209669</v>
      </c>
      <c r="W19" s="21">
        <v>72696</v>
      </c>
      <c r="X19" s="24">
        <v>2474585</v>
      </c>
      <c r="Y19" s="21">
        <v>144</v>
      </c>
      <c r="Z19" s="24">
        <v>154433</v>
      </c>
      <c r="AA19" s="67">
        <v>4495</v>
      </c>
      <c r="AB19" s="66">
        <v>793941</v>
      </c>
    </row>
    <row r="20" spans="1:28" s="82" customFormat="1" ht="18" customHeight="1">
      <c r="A20" s="19" t="s">
        <v>97</v>
      </c>
      <c r="B20" s="86" t="s">
        <v>13</v>
      </c>
      <c r="C20" s="21">
        <v>172268</v>
      </c>
      <c r="D20" s="43">
        <v>8330487</v>
      </c>
      <c r="E20" s="38">
        <v>30987</v>
      </c>
      <c r="F20" s="22">
        <v>1780141</v>
      </c>
      <c r="G20" s="23">
        <v>6024</v>
      </c>
      <c r="H20" s="24">
        <v>1196731</v>
      </c>
      <c r="I20" s="65">
        <v>1279</v>
      </c>
      <c r="J20" s="66">
        <v>298619</v>
      </c>
      <c r="K20" s="23">
        <v>112</v>
      </c>
      <c r="L20" s="24">
        <v>58728</v>
      </c>
      <c r="M20" s="21">
        <v>591</v>
      </c>
      <c r="N20" s="24">
        <v>141378</v>
      </c>
      <c r="O20" s="23">
        <v>51</v>
      </c>
      <c r="P20" s="24">
        <v>31680</v>
      </c>
      <c r="Q20" s="21">
        <v>95</v>
      </c>
      <c r="R20" s="24">
        <v>172561</v>
      </c>
      <c r="S20" s="80">
        <v>35</v>
      </c>
      <c r="T20" s="24">
        <v>16181</v>
      </c>
      <c r="U20" s="21">
        <v>423</v>
      </c>
      <c r="V20" s="24">
        <v>56195</v>
      </c>
      <c r="W20" s="21">
        <v>129235</v>
      </c>
      <c r="X20" s="24">
        <v>3852515</v>
      </c>
      <c r="Y20" s="21">
        <v>63</v>
      </c>
      <c r="Z20" s="24">
        <v>92086</v>
      </c>
      <c r="AA20" s="67">
        <v>3373</v>
      </c>
      <c r="AB20" s="66">
        <v>633672</v>
      </c>
    </row>
    <row r="21" spans="1:28" s="6" customFormat="1" ht="16.5" customHeight="1" thickBot="1">
      <c r="A21" s="13" t="s">
        <v>94</v>
      </c>
      <c r="B21" s="87" t="s">
        <v>13</v>
      </c>
      <c r="C21" s="15">
        <v>191635</v>
      </c>
      <c r="D21" s="42">
        <v>8227253</v>
      </c>
      <c r="E21" s="49">
        <v>39446</v>
      </c>
      <c r="F21" s="18">
        <v>1736823</v>
      </c>
      <c r="G21" s="15">
        <v>6299</v>
      </c>
      <c r="H21" s="18">
        <v>1115469</v>
      </c>
      <c r="I21" s="15">
        <v>152</v>
      </c>
      <c r="J21" s="18">
        <v>64458</v>
      </c>
      <c r="K21" s="15">
        <v>502</v>
      </c>
      <c r="L21" s="18">
        <v>275387</v>
      </c>
      <c r="M21" s="15">
        <v>398</v>
      </c>
      <c r="N21" s="18">
        <v>128970</v>
      </c>
      <c r="O21" s="15">
        <v>22</v>
      </c>
      <c r="P21" s="18">
        <v>22091</v>
      </c>
      <c r="Q21" s="47">
        <v>50</v>
      </c>
      <c r="R21" s="18">
        <v>86691</v>
      </c>
      <c r="S21" s="47">
        <v>551</v>
      </c>
      <c r="T21" s="18">
        <v>66584</v>
      </c>
      <c r="U21" s="15">
        <v>230</v>
      </c>
      <c r="V21" s="18">
        <v>40765</v>
      </c>
      <c r="W21" s="15">
        <v>141983</v>
      </c>
      <c r="X21" s="18">
        <v>4167897</v>
      </c>
      <c r="Y21" s="15">
        <v>26</v>
      </c>
      <c r="Z21" s="18">
        <v>76352</v>
      </c>
      <c r="AA21" s="15">
        <v>1976</v>
      </c>
      <c r="AB21" s="18">
        <v>445766</v>
      </c>
    </row>
    <row r="22" spans="1:28" s="6" customFormat="1" ht="16.5" customHeight="1" thickTop="1">
      <c r="A22" s="19" t="s">
        <v>94</v>
      </c>
      <c r="B22" s="20" t="s">
        <v>1</v>
      </c>
      <c r="C22" s="21">
        <v>4580</v>
      </c>
      <c r="D22" s="43">
        <v>357036</v>
      </c>
      <c r="E22" s="38">
        <v>3752</v>
      </c>
      <c r="F22" s="22">
        <v>218497</v>
      </c>
      <c r="G22" s="23">
        <v>753</v>
      </c>
      <c r="H22" s="24">
        <v>93524</v>
      </c>
      <c r="I22" s="21">
        <v>0</v>
      </c>
      <c r="J22" s="24">
        <v>0</v>
      </c>
      <c r="K22" s="23">
        <v>3</v>
      </c>
      <c r="L22" s="24">
        <v>873</v>
      </c>
      <c r="M22" s="21">
        <v>28</v>
      </c>
      <c r="N22" s="24">
        <v>6955</v>
      </c>
      <c r="O22" s="23">
        <v>0</v>
      </c>
      <c r="P22" s="24">
        <v>0</v>
      </c>
      <c r="Q22" s="46">
        <v>2</v>
      </c>
      <c r="R22" s="24">
        <v>5092</v>
      </c>
      <c r="S22" s="45">
        <v>0</v>
      </c>
      <c r="T22" s="24">
        <v>47</v>
      </c>
      <c r="U22" s="21">
        <v>0</v>
      </c>
      <c r="V22" s="24">
        <v>0</v>
      </c>
      <c r="W22" s="23">
        <v>0</v>
      </c>
      <c r="X22" s="24">
        <v>0</v>
      </c>
      <c r="Y22" s="21">
        <v>0</v>
      </c>
      <c r="Z22" s="24">
        <v>0</v>
      </c>
      <c r="AA22" s="23">
        <v>42</v>
      </c>
      <c r="AB22" s="24">
        <v>32048</v>
      </c>
    </row>
    <row r="23" spans="1:28" s="6" customFormat="1" ht="16.5" customHeight="1">
      <c r="A23" s="19"/>
      <c r="B23" s="20" t="s">
        <v>2</v>
      </c>
      <c r="C23" s="21">
        <v>5513</v>
      </c>
      <c r="D23" s="43">
        <v>353221</v>
      </c>
      <c r="E23" s="38">
        <v>4755</v>
      </c>
      <c r="F23" s="22">
        <v>254711</v>
      </c>
      <c r="G23" s="23">
        <v>672</v>
      </c>
      <c r="H23" s="24">
        <v>85068</v>
      </c>
      <c r="I23" s="21">
        <v>0</v>
      </c>
      <c r="J23" s="24">
        <v>0</v>
      </c>
      <c r="K23" s="23">
        <v>7</v>
      </c>
      <c r="L23" s="24">
        <v>1683</v>
      </c>
      <c r="M23" s="21">
        <v>17</v>
      </c>
      <c r="N23" s="24">
        <v>4244</v>
      </c>
      <c r="O23" s="23">
        <v>0</v>
      </c>
      <c r="P23" s="24">
        <v>0</v>
      </c>
      <c r="Q23" s="46">
        <v>1</v>
      </c>
      <c r="R23" s="24">
        <v>996</v>
      </c>
      <c r="S23" s="45">
        <v>29</v>
      </c>
      <c r="T23" s="24">
        <v>1182</v>
      </c>
      <c r="U23" s="21">
        <v>0</v>
      </c>
      <c r="V23" s="24">
        <v>0</v>
      </c>
      <c r="W23" s="23">
        <v>0</v>
      </c>
      <c r="X23" s="24">
        <v>0</v>
      </c>
      <c r="Y23" s="21">
        <v>0</v>
      </c>
      <c r="Z23" s="24">
        <v>0</v>
      </c>
      <c r="AA23" s="23">
        <v>32</v>
      </c>
      <c r="AB23" s="24">
        <v>5337</v>
      </c>
    </row>
    <row r="24" spans="1:28" s="6" customFormat="1" ht="16.5" customHeight="1">
      <c r="A24" s="19"/>
      <c r="B24" s="20" t="s">
        <v>3</v>
      </c>
      <c r="C24" s="21">
        <v>5730</v>
      </c>
      <c r="D24" s="43">
        <v>389694</v>
      </c>
      <c r="E24" s="38">
        <v>4802</v>
      </c>
      <c r="F24" s="22">
        <v>222328</v>
      </c>
      <c r="G24" s="23">
        <v>788</v>
      </c>
      <c r="H24" s="24">
        <v>136152</v>
      </c>
      <c r="I24" s="21">
        <v>0</v>
      </c>
      <c r="J24" s="24">
        <v>0</v>
      </c>
      <c r="K24" s="23">
        <v>9</v>
      </c>
      <c r="L24" s="24">
        <v>2144</v>
      </c>
      <c r="M24" s="21">
        <v>43</v>
      </c>
      <c r="N24" s="24">
        <v>8880</v>
      </c>
      <c r="O24" s="23">
        <v>0</v>
      </c>
      <c r="P24" s="24">
        <v>0</v>
      </c>
      <c r="Q24" s="21">
        <v>7</v>
      </c>
      <c r="R24" s="24">
        <v>11095</v>
      </c>
      <c r="S24" s="78">
        <v>5</v>
      </c>
      <c r="T24" s="24">
        <v>280</v>
      </c>
      <c r="U24" s="21">
        <v>0</v>
      </c>
      <c r="V24" s="24">
        <v>0</v>
      </c>
      <c r="W24" s="23">
        <v>0</v>
      </c>
      <c r="X24" s="24">
        <v>0</v>
      </c>
      <c r="Y24" s="21">
        <v>0</v>
      </c>
      <c r="Z24" s="24">
        <v>0</v>
      </c>
      <c r="AA24" s="23">
        <v>76</v>
      </c>
      <c r="AB24" s="24">
        <v>8815</v>
      </c>
    </row>
    <row r="25" spans="1:28" s="6" customFormat="1" ht="16.5" customHeight="1">
      <c r="A25" s="19"/>
      <c r="B25" s="20" t="s">
        <v>4</v>
      </c>
      <c r="C25" s="21">
        <v>2191</v>
      </c>
      <c r="D25" s="43">
        <v>220850</v>
      </c>
      <c r="E25" s="38">
        <v>1272</v>
      </c>
      <c r="F25" s="22">
        <v>61743</v>
      </c>
      <c r="G25" s="23">
        <v>767</v>
      </c>
      <c r="H25" s="24">
        <v>116468</v>
      </c>
      <c r="I25" s="68">
        <v>0</v>
      </c>
      <c r="J25" s="69">
        <v>0</v>
      </c>
      <c r="K25" s="23">
        <v>11</v>
      </c>
      <c r="L25" s="24">
        <v>2602</v>
      </c>
      <c r="M25" s="21">
        <v>31</v>
      </c>
      <c r="N25" s="24">
        <v>7356</v>
      </c>
      <c r="O25" s="23">
        <v>1</v>
      </c>
      <c r="P25" s="24">
        <v>1016</v>
      </c>
      <c r="Q25" s="21">
        <v>8</v>
      </c>
      <c r="R25" s="24">
        <v>10613</v>
      </c>
      <c r="S25" s="78">
        <v>1</v>
      </c>
      <c r="T25" s="24">
        <v>65</v>
      </c>
      <c r="U25" s="68">
        <v>0</v>
      </c>
      <c r="V25" s="69">
        <v>0</v>
      </c>
      <c r="W25" s="70">
        <v>0</v>
      </c>
      <c r="X25" s="69">
        <v>0</v>
      </c>
      <c r="Y25" s="68">
        <v>0</v>
      </c>
      <c r="Z25" s="69">
        <v>0</v>
      </c>
      <c r="AA25" s="23">
        <v>100</v>
      </c>
      <c r="AB25" s="24">
        <v>20987</v>
      </c>
    </row>
    <row r="26" spans="1:28" s="6" customFormat="1" ht="16.5" customHeight="1">
      <c r="A26" s="19"/>
      <c r="B26" s="20" t="s">
        <v>5</v>
      </c>
      <c r="C26" s="21">
        <v>4288</v>
      </c>
      <c r="D26" s="43">
        <v>305007</v>
      </c>
      <c r="E26" s="38">
        <v>3123</v>
      </c>
      <c r="F26" s="22">
        <v>113677</v>
      </c>
      <c r="G26" s="23">
        <v>884</v>
      </c>
      <c r="H26" s="24">
        <v>107616</v>
      </c>
      <c r="I26" s="21">
        <v>0</v>
      </c>
      <c r="J26" s="24">
        <v>0</v>
      </c>
      <c r="K26" s="23">
        <v>6</v>
      </c>
      <c r="L26" s="24">
        <v>1358</v>
      </c>
      <c r="M26" s="21">
        <v>35</v>
      </c>
      <c r="N26" s="24">
        <v>7806</v>
      </c>
      <c r="O26" s="23">
        <v>11</v>
      </c>
      <c r="P26" s="24">
        <v>9975</v>
      </c>
      <c r="Q26" s="21">
        <v>7</v>
      </c>
      <c r="R26" s="24">
        <v>10526</v>
      </c>
      <c r="S26" s="78">
        <v>1</v>
      </c>
      <c r="T26" s="24">
        <v>111</v>
      </c>
      <c r="U26" s="68">
        <v>0</v>
      </c>
      <c r="V26" s="24">
        <v>0</v>
      </c>
      <c r="W26" s="23">
        <v>40</v>
      </c>
      <c r="X26" s="24">
        <v>1553</v>
      </c>
      <c r="Y26" s="21">
        <v>0</v>
      </c>
      <c r="Z26" s="24">
        <v>0</v>
      </c>
      <c r="AA26" s="23">
        <v>181</v>
      </c>
      <c r="AB26" s="24">
        <v>52385</v>
      </c>
    </row>
    <row r="27" spans="1:28" s="6" customFormat="1" ht="16.5" customHeight="1">
      <c r="A27" s="19"/>
      <c r="B27" s="20" t="s">
        <v>6</v>
      </c>
      <c r="C27" s="21">
        <v>3494</v>
      </c>
      <c r="D27" s="43">
        <v>148941</v>
      </c>
      <c r="E27" s="38">
        <v>320</v>
      </c>
      <c r="F27" s="22">
        <v>9655</v>
      </c>
      <c r="G27" s="23">
        <v>61</v>
      </c>
      <c r="H27" s="24">
        <v>8320</v>
      </c>
      <c r="I27" s="21">
        <v>0</v>
      </c>
      <c r="J27" s="24">
        <v>0</v>
      </c>
      <c r="K27" s="78">
        <v>0</v>
      </c>
      <c r="L27" s="24">
        <v>96</v>
      </c>
      <c r="M27" s="21">
        <v>37</v>
      </c>
      <c r="N27" s="24">
        <v>6668</v>
      </c>
      <c r="O27" s="23">
        <v>10</v>
      </c>
      <c r="P27" s="24">
        <v>11100</v>
      </c>
      <c r="Q27" s="53">
        <v>3</v>
      </c>
      <c r="R27" s="24">
        <v>5481</v>
      </c>
      <c r="S27" s="95">
        <v>0</v>
      </c>
      <c r="T27" s="24">
        <v>1</v>
      </c>
      <c r="U27" s="95">
        <v>0</v>
      </c>
      <c r="V27" s="24">
        <v>11</v>
      </c>
      <c r="W27" s="23">
        <v>2923</v>
      </c>
      <c r="X27" s="24">
        <v>73325</v>
      </c>
      <c r="Y27" s="21">
        <v>0</v>
      </c>
      <c r="Z27" s="24">
        <v>0</v>
      </c>
      <c r="AA27" s="23">
        <v>140</v>
      </c>
      <c r="AB27" s="24">
        <v>34284</v>
      </c>
    </row>
    <row r="28" spans="1:28" s="6" customFormat="1" ht="16.5" customHeight="1">
      <c r="A28" s="19"/>
      <c r="B28" s="20" t="s">
        <v>7</v>
      </c>
      <c r="C28" s="21">
        <v>37807</v>
      </c>
      <c r="D28" s="43">
        <v>975372</v>
      </c>
      <c r="E28" s="38">
        <v>2</v>
      </c>
      <c r="F28" s="22">
        <v>77</v>
      </c>
      <c r="G28" s="23">
        <v>14</v>
      </c>
      <c r="H28" s="24">
        <v>2085</v>
      </c>
      <c r="I28" s="21">
        <v>1</v>
      </c>
      <c r="J28" s="24">
        <v>4375</v>
      </c>
      <c r="K28" s="78">
        <v>0</v>
      </c>
      <c r="L28" s="24">
        <v>1</v>
      </c>
      <c r="M28" s="21">
        <v>22</v>
      </c>
      <c r="N28" s="24">
        <v>7152</v>
      </c>
      <c r="O28" s="23">
        <v>0</v>
      </c>
      <c r="P28" s="24">
        <v>0</v>
      </c>
      <c r="Q28" s="21">
        <v>5</v>
      </c>
      <c r="R28" s="24">
        <v>9804</v>
      </c>
      <c r="S28" s="95">
        <v>0</v>
      </c>
      <c r="T28" s="24">
        <v>5</v>
      </c>
      <c r="U28" s="21">
        <v>0</v>
      </c>
      <c r="V28" s="24">
        <v>0</v>
      </c>
      <c r="W28" s="21">
        <v>37649</v>
      </c>
      <c r="X28" s="24">
        <v>938556</v>
      </c>
      <c r="Y28" s="21">
        <v>0</v>
      </c>
      <c r="Z28" s="24">
        <v>0</v>
      </c>
      <c r="AA28" s="23">
        <v>114</v>
      </c>
      <c r="AB28" s="24">
        <v>13317</v>
      </c>
    </row>
    <row r="29" spans="1:28" s="6" customFormat="1" ht="16.5" customHeight="1">
      <c r="A29" s="19"/>
      <c r="B29" s="20" t="s">
        <v>8</v>
      </c>
      <c r="C29" s="21">
        <v>15964</v>
      </c>
      <c r="D29" s="43">
        <v>471597</v>
      </c>
      <c r="E29" s="38">
        <v>13</v>
      </c>
      <c r="F29" s="22">
        <v>411</v>
      </c>
      <c r="G29" s="23">
        <v>23</v>
      </c>
      <c r="H29" s="24">
        <v>5583</v>
      </c>
      <c r="I29" s="21">
        <v>0</v>
      </c>
      <c r="J29" s="24">
        <v>0</v>
      </c>
      <c r="K29" s="21">
        <v>0</v>
      </c>
      <c r="L29" s="22">
        <v>0</v>
      </c>
      <c r="M29" s="21">
        <v>3</v>
      </c>
      <c r="N29" s="24">
        <v>894</v>
      </c>
      <c r="O29" s="23">
        <v>0</v>
      </c>
      <c r="P29" s="24">
        <v>0</v>
      </c>
      <c r="Q29" s="21">
        <v>2</v>
      </c>
      <c r="R29" s="24">
        <v>4258</v>
      </c>
      <c r="S29" s="95">
        <v>0</v>
      </c>
      <c r="T29" s="22">
        <v>21</v>
      </c>
      <c r="U29" s="68">
        <v>0</v>
      </c>
      <c r="V29" s="24">
        <v>0</v>
      </c>
      <c r="W29" s="23">
        <v>15859</v>
      </c>
      <c r="X29" s="24">
        <v>454257</v>
      </c>
      <c r="Y29" s="21">
        <v>0</v>
      </c>
      <c r="Z29" s="24">
        <v>0</v>
      </c>
      <c r="AA29" s="23">
        <v>64</v>
      </c>
      <c r="AB29" s="24">
        <v>6173</v>
      </c>
    </row>
    <row r="30" spans="1:28" s="6" customFormat="1" ht="16.5" customHeight="1">
      <c r="A30" s="19"/>
      <c r="B30" s="20" t="s">
        <v>9</v>
      </c>
      <c r="C30" s="21">
        <v>50333</v>
      </c>
      <c r="D30" s="43">
        <v>1863584</v>
      </c>
      <c r="E30" s="38">
        <v>8132</v>
      </c>
      <c r="F30" s="22">
        <v>241474</v>
      </c>
      <c r="G30" s="23">
        <v>592</v>
      </c>
      <c r="H30" s="24">
        <v>156923</v>
      </c>
      <c r="I30" s="21">
        <v>0</v>
      </c>
      <c r="J30" s="24">
        <v>0</v>
      </c>
      <c r="K30" s="23">
        <v>120</v>
      </c>
      <c r="L30" s="24">
        <v>68548</v>
      </c>
      <c r="M30" s="21">
        <v>38</v>
      </c>
      <c r="N30" s="24">
        <v>10612</v>
      </c>
      <c r="O30" s="23">
        <v>0</v>
      </c>
      <c r="P30" s="24">
        <v>0</v>
      </c>
      <c r="Q30" s="21">
        <v>4</v>
      </c>
      <c r="R30" s="24">
        <v>8662</v>
      </c>
      <c r="S30" s="80">
        <v>92</v>
      </c>
      <c r="T30" s="22">
        <v>8904</v>
      </c>
      <c r="U30" s="68">
        <v>0</v>
      </c>
      <c r="V30" s="24">
        <v>0</v>
      </c>
      <c r="W30" s="23">
        <v>41117</v>
      </c>
      <c r="X30" s="24">
        <v>1260287</v>
      </c>
      <c r="Y30" s="80">
        <v>0</v>
      </c>
      <c r="Z30" s="24">
        <v>4</v>
      </c>
      <c r="AA30" s="23">
        <v>238</v>
      </c>
      <c r="AB30" s="24">
        <v>108170</v>
      </c>
    </row>
    <row r="31" spans="1:28" s="6" customFormat="1" ht="16.5" customHeight="1">
      <c r="A31" s="19"/>
      <c r="B31" s="20" t="s">
        <v>10</v>
      </c>
      <c r="C31" s="21">
        <v>52208</v>
      </c>
      <c r="D31" s="43">
        <v>2162496</v>
      </c>
      <c r="E31" s="38">
        <v>6107</v>
      </c>
      <c r="F31" s="22">
        <v>233413</v>
      </c>
      <c r="G31" s="23">
        <v>493</v>
      </c>
      <c r="H31" s="24">
        <v>121875</v>
      </c>
      <c r="I31" s="21">
        <v>144</v>
      </c>
      <c r="J31" s="24">
        <v>57960</v>
      </c>
      <c r="K31" s="23">
        <v>321</v>
      </c>
      <c r="L31" s="24">
        <v>183895</v>
      </c>
      <c r="M31" s="21">
        <v>44</v>
      </c>
      <c r="N31" s="24">
        <v>16996</v>
      </c>
      <c r="O31" s="23">
        <v>0</v>
      </c>
      <c r="P31" s="24">
        <v>0</v>
      </c>
      <c r="Q31" s="21">
        <v>6</v>
      </c>
      <c r="R31" s="24">
        <v>11511</v>
      </c>
      <c r="S31" s="80">
        <v>200</v>
      </c>
      <c r="T31" s="24">
        <v>27891</v>
      </c>
      <c r="U31" s="46">
        <v>226</v>
      </c>
      <c r="V31" s="24">
        <v>39809</v>
      </c>
      <c r="W31" s="23">
        <v>44051</v>
      </c>
      <c r="X31" s="24">
        <v>1417851</v>
      </c>
      <c r="Y31" s="21">
        <v>0</v>
      </c>
      <c r="Z31" s="22">
        <v>0</v>
      </c>
      <c r="AA31" s="23">
        <v>616</v>
      </c>
      <c r="AB31" s="24">
        <v>51295</v>
      </c>
    </row>
    <row r="32" spans="1:28" s="6" customFormat="1" ht="16.5" customHeight="1">
      <c r="A32" s="19"/>
      <c r="B32" s="20" t="s">
        <v>11</v>
      </c>
      <c r="C32" s="21">
        <v>6918</v>
      </c>
      <c r="D32" s="43">
        <v>602497</v>
      </c>
      <c r="E32" s="38">
        <v>5504</v>
      </c>
      <c r="F32" s="22">
        <v>270879</v>
      </c>
      <c r="G32" s="23">
        <v>609</v>
      </c>
      <c r="H32" s="24">
        <v>158343</v>
      </c>
      <c r="I32" s="21">
        <v>7</v>
      </c>
      <c r="J32" s="24">
        <v>2122</v>
      </c>
      <c r="K32" s="23">
        <v>11</v>
      </c>
      <c r="L32" s="24">
        <v>5624</v>
      </c>
      <c r="M32" s="21">
        <v>31</v>
      </c>
      <c r="N32" s="24">
        <v>17256</v>
      </c>
      <c r="O32" s="23">
        <v>0</v>
      </c>
      <c r="P32" s="24">
        <v>0</v>
      </c>
      <c r="Q32" s="21">
        <v>2</v>
      </c>
      <c r="R32" s="24">
        <v>4571</v>
      </c>
      <c r="S32" s="78">
        <v>118</v>
      </c>
      <c r="T32" s="24">
        <v>15623</v>
      </c>
      <c r="U32" s="78">
        <v>0</v>
      </c>
      <c r="V32" s="24">
        <v>6</v>
      </c>
      <c r="W32" s="23">
        <v>343</v>
      </c>
      <c r="X32" s="24">
        <v>22069</v>
      </c>
      <c r="Y32" s="21">
        <v>26</v>
      </c>
      <c r="Z32" s="24">
        <v>76348</v>
      </c>
      <c r="AA32" s="23">
        <v>267</v>
      </c>
      <c r="AB32" s="24">
        <v>29656</v>
      </c>
    </row>
    <row r="33" spans="1:28" s="6" customFormat="1" ht="16.5" customHeight="1">
      <c r="A33" s="25"/>
      <c r="B33" s="26" t="s">
        <v>12</v>
      </c>
      <c r="C33" s="33">
        <v>2611</v>
      </c>
      <c r="D33" s="44">
        <v>376958</v>
      </c>
      <c r="E33" s="39">
        <v>1663</v>
      </c>
      <c r="F33" s="34">
        <v>109959</v>
      </c>
      <c r="G33" s="31">
        <v>643</v>
      </c>
      <c r="H33" s="32">
        <v>123513</v>
      </c>
      <c r="I33" s="33">
        <v>0</v>
      </c>
      <c r="J33" s="32">
        <v>0</v>
      </c>
      <c r="K33" s="31">
        <v>13</v>
      </c>
      <c r="L33" s="32">
        <v>8560</v>
      </c>
      <c r="M33" s="33">
        <v>69</v>
      </c>
      <c r="N33" s="32">
        <v>34150</v>
      </c>
      <c r="O33" s="31">
        <v>0</v>
      </c>
      <c r="P33" s="32">
        <v>0</v>
      </c>
      <c r="Q33" s="33">
        <v>2</v>
      </c>
      <c r="R33" s="32">
        <v>4083</v>
      </c>
      <c r="S33" s="79">
        <v>104</v>
      </c>
      <c r="T33" s="32">
        <v>12453</v>
      </c>
      <c r="U33" s="33">
        <v>4</v>
      </c>
      <c r="V33" s="32">
        <v>939</v>
      </c>
      <c r="W33" s="33">
        <v>0</v>
      </c>
      <c r="X33" s="32">
        <v>0</v>
      </c>
      <c r="Y33" s="33">
        <v>0</v>
      </c>
      <c r="Z33" s="32">
        <v>0</v>
      </c>
      <c r="AA33" s="31">
        <v>113</v>
      </c>
      <c r="AB33" s="32">
        <v>83301</v>
      </c>
    </row>
    <row r="34" spans="1:28" s="6" customFormat="1" ht="16.5" customHeight="1">
      <c r="A34" s="19" t="s">
        <v>95</v>
      </c>
      <c r="B34" s="20" t="s">
        <v>1</v>
      </c>
      <c r="C34" s="21">
        <v>3376</v>
      </c>
      <c r="D34" s="43">
        <v>298146</v>
      </c>
      <c r="E34" s="38">
        <v>2677</v>
      </c>
      <c r="F34" s="22">
        <v>144239</v>
      </c>
      <c r="G34" s="23">
        <v>622</v>
      </c>
      <c r="H34" s="24">
        <v>109617</v>
      </c>
      <c r="I34" s="21">
        <v>0</v>
      </c>
      <c r="J34" s="24">
        <v>0</v>
      </c>
      <c r="K34" s="23">
        <v>6</v>
      </c>
      <c r="L34" s="24">
        <v>2310</v>
      </c>
      <c r="M34" s="21">
        <v>18</v>
      </c>
      <c r="N34" s="24">
        <v>4642</v>
      </c>
      <c r="O34" s="23">
        <v>0</v>
      </c>
      <c r="P34" s="24">
        <v>0</v>
      </c>
      <c r="Q34" s="46">
        <v>3</v>
      </c>
      <c r="R34" s="24">
        <v>6271</v>
      </c>
      <c r="S34" s="45">
        <v>23</v>
      </c>
      <c r="T34" s="24">
        <v>5296</v>
      </c>
      <c r="U34" s="21">
        <v>0</v>
      </c>
      <c r="V34" s="24">
        <v>0</v>
      </c>
      <c r="W34" s="21">
        <v>0</v>
      </c>
      <c r="X34" s="24">
        <v>0</v>
      </c>
      <c r="Y34" s="21">
        <v>0</v>
      </c>
      <c r="Z34" s="24">
        <v>0</v>
      </c>
      <c r="AA34" s="23">
        <v>27</v>
      </c>
      <c r="AB34" s="24">
        <v>25771</v>
      </c>
    </row>
    <row r="35" spans="1:28" s="6" customFormat="1" ht="16.5" customHeight="1">
      <c r="A35" s="19"/>
      <c r="B35" s="20" t="s">
        <v>2</v>
      </c>
      <c r="C35" s="21">
        <v>4804</v>
      </c>
      <c r="D35" s="43">
        <v>328041</v>
      </c>
      <c r="E35" s="38">
        <v>4243</v>
      </c>
      <c r="F35" s="22">
        <v>215621</v>
      </c>
      <c r="G35" s="23">
        <v>464</v>
      </c>
      <c r="H35" s="24">
        <v>80137</v>
      </c>
      <c r="I35" s="21">
        <v>0</v>
      </c>
      <c r="J35" s="24">
        <v>0</v>
      </c>
      <c r="K35" s="23">
        <v>7</v>
      </c>
      <c r="L35" s="24">
        <v>1655</v>
      </c>
      <c r="M35" s="21">
        <v>19</v>
      </c>
      <c r="N35" s="24">
        <v>5755</v>
      </c>
      <c r="O35" s="23">
        <v>0</v>
      </c>
      <c r="P35" s="24">
        <v>0</v>
      </c>
      <c r="Q35" s="46">
        <v>6</v>
      </c>
      <c r="R35" s="24">
        <v>12493</v>
      </c>
      <c r="S35" s="45">
        <v>22</v>
      </c>
      <c r="T35" s="24">
        <v>5099</v>
      </c>
      <c r="U35" s="21">
        <v>0</v>
      </c>
      <c r="V35" s="24">
        <v>0</v>
      </c>
      <c r="W35" s="23">
        <v>0</v>
      </c>
      <c r="X35" s="24">
        <v>0</v>
      </c>
      <c r="Y35" s="21">
        <v>0</v>
      </c>
      <c r="Z35" s="24">
        <v>0</v>
      </c>
      <c r="AA35" s="23">
        <v>43</v>
      </c>
      <c r="AB35" s="24">
        <v>7281</v>
      </c>
    </row>
    <row r="36" spans="1:28" s="6" customFormat="1" ht="16.5" customHeight="1">
      <c r="A36" s="19"/>
      <c r="B36" s="20" t="s">
        <v>3</v>
      </c>
      <c r="C36" s="21">
        <v>5265</v>
      </c>
      <c r="D36" s="43">
        <v>369562</v>
      </c>
      <c r="E36" s="38">
        <v>4439</v>
      </c>
      <c r="F36" s="22">
        <v>212940</v>
      </c>
      <c r="G36" s="23">
        <v>702</v>
      </c>
      <c r="H36" s="24">
        <v>116275</v>
      </c>
      <c r="I36" s="21">
        <v>0</v>
      </c>
      <c r="J36" s="24">
        <v>0</v>
      </c>
      <c r="K36" s="23">
        <v>3</v>
      </c>
      <c r="L36" s="24">
        <v>745</v>
      </c>
      <c r="M36" s="21">
        <v>21</v>
      </c>
      <c r="N36" s="24">
        <v>6080</v>
      </c>
      <c r="O36" s="23">
        <v>0</v>
      </c>
      <c r="P36" s="24">
        <v>0</v>
      </c>
      <c r="Q36" s="21">
        <v>8</v>
      </c>
      <c r="R36" s="24">
        <v>14034</v>
      </c>
      <c r="S36" s="78">
        <v>48</v>
      </c>
      <c r="T36" s="24">
        <v>11558</v>
      </c>
      <c r="U36" s="21">
        <v>0</v>
      </c>
      <c r="V36" s="24">
        <v>0</v>
      </c>
      <c r="W36" s="23">
        <v>0</v>
      </c>
      <c r="X36" s="24">
        <v>0</v>
      </c>
      <c r="Y36" s="21">
        <v>0</v>
      </c>
      <c r="Z36" s="24">
        <v>0</v>
      </c>
      <c r="AA36" s="23">
        <v>44</v>
      </c>
      <c r="AB36" s="24">
        <v>7930</v>
      </c>
    </row>
    <row r="37" spans="1:28" s="6" customFormat="1" ht="16.5" customHeight="1">
      <c r="A37" s="19"/>
      <c r="B37" s="20" t="s">
        <v>4</v>
      </c>
      <c r="C37" s="21">
        <v>1513</v>
      </c>
      <c r="D37" s="43">
        <v>183598</v>
      </c>
      <c r="E37" s="38">
        <v>770</v>
      </c>
      <c r="F37" s="22">
        <v>39878</v>
      </c>
      <c r="G37" s="23">
        <v>494</v>
      </c>
      <c r="H37" s="24">
        <v>81280</v>
      </c>
      <c r="I37" s="68">
        <v>0</v>
      </c>
      <c r="J37" s="69">
        <v>0</v>
      </c>
      <c r="K37" s="23">
        <v>3</v>
      </c>
      <c r="L37" s="24">
        <v>893</v>
      </c>
      <c r="M37" s="21">
        <v>30</v>
      </c>
      <c r="N37" s="24">
        <v>10305</v>
      </c>
      <c r="O37" s="23">
        <v>3</v>
      </c>
      <c r="P37" s="24">
        <v>3199</v>
      </c>
      <c r="Q37" s="21">
        <v>11</v>
      </c>
      <c r="R37" s="24">
        <v>16627</v>
      </c>
      <c r="S37" s="78">
        <v>39</v>
      </c>
      <c r="T37" s="24">
        <v>8102</v>
      </c>
      <c r="U37" s="68">
        <v>0</v>
      </c>
      <c r="V37" s="69">
        <v>0</v>
      </c>
      <c r="W37" s="70">
        <v>0</v>
      </c>
      <c r="X37" s="69">
        <v>0</v>
      </c>
      <c r="Y37" s="68">
        <v>0</v>
      </c>
      <c r="Z37" s="69">
        <v>0</v>
      </c>
      <c r="AA37" s="23">
        <v>163</v>
      </c>
      <c r="AB37" s="24">
        <v>23314</v>
      </c>
    </row>
    <row r="38" spans="1:28" s="6" customFormat="1" ht="16.5" customHeight="1">
      <c r="A38" s="19"/>
      <c r="B38" s="20" t="s">
        <v>5</v>
      </c>
      <c r="C38" s="21">
        <v>4828</v>
      </c>
      <c r="D38" s="43">
        <v>383049</v>
      </c>
      <c r="E38" s="38">
        <v>3268</v>
      </c>
      <c r="F38" s="22">
        <v>137439</v>
      </c>
      <c r="G38" s="23">
        <v>958</v>
      </c>
      <c r="H38" s="24">
        <v>139974</v>
      </c>
      <c r="I38" s="21">
        <v>0</v>
      </c>
      <c r="J38" s="24">
        <v>0</v>
      </c>
      <c r="K38" s="23">
        <v>4</v>
      </c>
      <c r="L38" s="24">
        <v>847</v>
      </c>
      <c r="M38" s="21">
        <v>33</v>
      </c>
      <c r="N38" s="24">
        <v>10100</v>
      </c>
      <c r="O38" s="23">
        <v>37</v>
      </c>
      <c r="P38" s="24">
        <v>17650</v>
      </c>
      <c r="Q38" s="21">
        <v>19</v>
      </c>
      <c r="R38" s="24">
        <v>30473</v>
      </c>
      <c r="S38" s="78">
        <v>11</v>
      </c>
      <c r="T38" s="24">
        <v>1398</v>
      </c>
      <c r="U38" s="68">
        <v>0</v>
      </c>
      <c r="V38" s="24">
        <v>0</v>
      </c>
      <c r="W38" s="23">
        <v>2</v>
      </c>
      <c r="X38" s="24">
        <v>146</v>
      </c>
      <c r="Y38" s="21">
        <v>0</v>
      </c>
      <c r="Z38" s="24">
        <v>0</v>
      </c>
      <c r="AA38" s="23">
        <v>496</v>
      </c>
      <c r="AB38" s="24">
        <v>45022</v>
      </c>
    </row>
    <row r="39" spans="1:28" s="6" customFormat="1" ht="16.5" customHeight="1">
      <c r="A39" s="19"/>
      <c r="B39" s="20" t="s">
        <v>6</v>
      </c>
      <c r="C39" s="21">
        <v>5419</v>
      </c>
      <c r="D39" s="43">
        <v>214574</v>
      </c>
      <c r="E39" s="38">
        <v>495</v>
      </c>
      <c r="F39" s="22">
        <v>18765</v>
      </c>
      <c r="G39" s="23">
        <v>102</v>
      </c>
      <c r="H39" s="24">
        <v>20535</v>
      </c>
      <c r="I39" s="21">
        <v>0</v>
      </c>
      <c r="J39" s="24">
        <v>0</v>
      </c>
      <c r="K39" s="78">
        <v>0</v>
      </c>
      <c r="L39" s="24">
        <v>5</v>
      </c>
      <c r="M39" s="21">
        <v>12</v>
      </c>
      <c r="N39" s="24">
        <v>2448</v>
      </c>
      <c r="O39" s="23">
        <v>9</v>
      </c>
      <c r="P39" s="24">
        <v>7084</v>
      </c>
      <c r="Q39" s="53">
        <v>1</v>
      </c>
      <c r="R39" s="24">
        <v>2333</v>
      </c>
      <c r="S39" s="95">
        <v>3</v>
      </c>
      <c r="T39" s="24">
        <v>257</v>
      </c>
      <c r="U39" s="68">
        <v>0</v>
      </c>
      <c r="V39" s="24">
        <v>0</v>
      </c>
      <c r="W39" s="23">
        <v>4702</v>
      </c>
      <c r="X39" s="24">
        <v>150279</v>
      </c>
      <c r="Y39" s="21">
        <v>0</v>
      </c>
      <c r="Z39" s="24">
        <v>0</v>
      </c>
      <c r="AA39" s="23">
        <v>95</v>
      </c>
      <c r="AB39" s="24">
        <v>12868</v>
      </c>
    </row>
    <row r="40" spans="1:28" s="6" customFormat="1" ht="16.5" customHeight="1">
      <c r="A40" s="19"/>
      <c r="B40" s="20" t="s">
        <v>7</v>
      </c>
      <c r="C40" s="21">
        <v>45748</v>
      </c>
      <c r="D40" s="43">
        <v>1297478</v>
      </c>
      <c r="E40" s="38">
        <v>19</v>
      </c>
      <c r="F40" s="22">
        <v>645</v>
      </c>
      <c r="G40" s="23">
        <v>26</v>
      </c>
      <c r="H40" s="24">
        <v>4993</v>
      </c>
      <c r="I40" s="21">
        <v>0</v>
      </c>
      <c r="J40" s="24">
        <v>0</v>
      </c>
      <c r="K40" s="45">
        <v>0</v>
      </c>
      <c r="L40" s="24">
        <v>2</v>
      </c>
      <c r="M40" s="21">
        <v>4</v>
      </c>
      <c r="N40" s="24">
        <v>1027</v>
      </c>
      <c r="O40" s="23">
        <v>0</v>
      </c>
      <c r="P40" s="24">
        <v>0</v>
      </c>
      <c r="Q40" s="21">
        <v>3</v>
      </c>
      <c r="R40" s="24">
        <v>4526</v>
      </c>
      <c r="S40" s="95">
        <v>4</v>
      </c>
      <c r="T40" s="24">
        <v>326</v>
      </c>
      <c r="U40" s="68">
        <v>8</v>
      </c>
      <c r="V40" s="24">
        <v>387</v>
      </c>
      <c r="W40" s="21">
        <v>45600</v>
      </c>
      <c r="X40" s="24">
        <v>1274446</v>
      </c>
      <c r="Y40" s="21">
        <v>0</v>
      </c>
      <c r="Z40" s="24">
        <v>0</v>
      </c>
      <c r="AA40" s="23">
        <v>84</v>
      </c>
      <c r="AB40" s="24">
        <v>11126</v>
      </c>
    </row>
    <row r="41" spans="1:28" s="6" customFormat="1" ht="16.5" customHeight="1">
      <c r="A41" s="19"/>
      <c r="B41" s="20" t="s">
        <v>8</v>
      </c>
      <c r="C41" s="21">
        <v>4377</v>
      </c>
      <c r="D41" s="43">
        <v>151961</v>
      </c>
      <c r="E41" s="38">
        <v>5</v>
      </c>
      <c r="F41" s="22">
        <v>166</v>
      </c>
      <c r="G41" s="23">
        <v>15</v>
      </c>
      <c r="H41" s="24">
        <v>4375</v>
      </c>
      <c r="I41" s="21">
        <v>0</v>
      </c>
      <c r="J41" s="24">
        <v>0</v>
      </c>
      <c r="K41" s="21">
        <v>1</v>
      </c>
      <c r="L41" s="24">
        <v>393</v>
      </c>
      <c r="M41" s="21">
        <v>2</v>
      </c>
      <c r="N41" s="24">
        <v>474</v>
      </c>
      <c r="O41" s="23">
        <v>0</v>
      </c>
      <c r="P41" s="24">
        <v>0</v>
      </c>
      <c r="Q41" s="21">
        <v>1</v>
      </c>
      <c r="R41" s="24">
        <v>2635</v>
      </c>
      <c r="S41" s="95">
        <v>2</v>
      </c>
      <c r="T41" s="22">
        <v>207</v>
      </c>
      <c r="U41" s="68">
        <v>0</v>
      </c>
      <c r="V41" s="24">
        <v>0</v>
      </c>
      <c r="W41" s="23">
        <v>4295</v>
      </c>
      <c r="X41" s="24">
        <v>135057</v>
      </c>
      <c r="Y41" s="21">
        <v>0</v>
      </c>
      <c r="Z41" s="24">
        <v>0</v>
      </c>
      <c r="AA41" s="23">
        <v>56</v>
      </c>
      <c r="AB41" s="24">
        <v>8654</v>
      </c>
    </row>
    <row r="42" spans="1:28" s="6" customFormat="1" ht="16.5" customHeight="1">
      <c r="A42" s="19"/>
      <c r="B42" s="20" t="s">
        <v>9</v>
      </c>
      <c r="C42" s="21">
        <v>58208</v>
      </c>
      <c r="D42" s="43">
        <v>2254232</v>
      </c>
      <c r="E42" s="38">
        <v>10298</v>
      </c>
      <c r="F42" s="22">
        <v>341959</v>
      </c>
      <c r="G42" s="23">
        <v>715</v>
      </c>
      <c r="H42" s="24">
        <v>154385</v>
      </c>
      <c r="I42" s="21">
        <v>94</v>
      </c>
      <c r="J42" s="24">
        <v>42613</v>
      </c>
      <c r="K42" s="23">
        <v>5</v>
      </c>
      <c r="L42" s="24">
        <v>1097</v>
      </c>
      <c r="M42" s="21">
        <v>67</v>
      </c>
      <c r="N42" s="24">
        <v>18386</v>
      </c>
      <c r="O42" s="23">
        <v>0</v>
      </c>
      <c r="P42" s="24">
        <v>0</v>
      </c>
      <c r="Q42" s="21">
        <v>11</v>
      </c>
      <c r="R42" s="24">
        <v>20129</v>
      </c>
      <c r="S42" s="80">
        <v>9</v>
      </c>
      <c r="T42" s="22">
        <v>2123</v>
      </c>
      <c r="U42" s="68">
        <v>0</v>
      </c>
      <c r="V42" s="24">
        <v>0</v>
      </c>
      <c r="W42" s="23">
        <v>46572</v>
      </c>
      <c r="X42" s="24">
        <v>1545940</v>
      </c>
      <c r="Y42" s="80">
        <v>0</v>
      </c>
      <c r="Z42" s="24">
        <v>13</v>
      </c>
      <c r="AA42" s="23">
        <v>437</v>
      </c>
      <c r="AB42" s="24">
        <v>127587</v>
      </c>
    </row>
    <row r="43" spans="1:28" s="6" customFormat="1" ht="16.5" customHeight="1">
      <c r="A43" s="19"/>
      <c r="B43" s="20" t="s">
        <v>10</v>
      </c>
      <c r="C43" s="21">
        <v>57839</v>
      </c>
      <c r="D43" s="43">
        <v>2230753</v>
      </c>
      <c r="E43" s="38">
        <v>9606</v>
      </c>
      <c r="F43" s="22">
        <v>370971</v>
      </c>
      <c r="G43" s="23">
        <v>648</v>
      </c>
      <c r="H43" s="24">
        <v>104165</v>
      </c>
      <c r="I43" s="21">
        <v>21</v>
      </c>
      <c r="J43" s="24">
        <v>13110</v>
      </c>
      <c r="K43" s="23">
        <v>3</v>
      </c>
      <c r="L43" s="24">
        <v>721</v>
      </c>
      <c r="M43" s="21">
        <v>32</v>
      </c>
      <c r="N43" s="24">
        <v>9327</v>
      </c>
      <c r="O43" s="23">
        <v>0</v>
      </c>
      <c r="P43" s="24">
        <v>0</v>
      </c>
      <c r="Q43" s="21">
        <v>7</v>
      </c>
      <c r="R43" s="24">
        <v>14159</v>
      </c>
      <c r="S43" s="80">
        <v>4</v>
      </c>
      <c r="T43" s="24">
        <v>1018</v>
      </c>
      <c r="U43" s="46">
        <v>42</v>
      </c>
      <c r="V43" s="24">
        <v>4921</v>
      </c>
      <c r="W43" s="23">
        <v>47332</v>
      </c>
      <c r="X43" s="24">
        <v>1676859</v>
      </c>
      <c r="Y43" s="80">
        <v>0</v>
      </c>
      <c r="Z43" s="24">
        <v>104</v>
      </c>
      <c r="AA43" s="23">
        <v>144</v>
      </c>
      <c r="AB43" s="24">
        <v>35398</v>
      </c>
    </row>
    <row r="44" spans="1:28" s="6" customFormat="1" ht="16.5" customHeight="1">
      <c r="A44" s="19"/>
      <c r="B44" s="20" t="s">
        <v>11</v>
      </c>
      <c r="C44" s="21">
        <v>9616</v>
      </c>
      <c r="D44" s="43">
        <v>763097</v>
      </c>
      <c r="E44" s="38">
        <v>6101</v>
      </c>
      <c r="F44" s="22">
        <v>308341</v>
      </c>
      <c r="G44" s="23">
        <v>684</v>
      </c>
      <c r="H44" s="24">
        <v>131419</v>
      </c>
      <c r="I44" s="21">
        <v>0</v>
      </c>
      <c r="J44" s="24">
        <v>0</v>
      </c>
      <c r="K44" s="23">
        <v>4</v>
      </c>
      <c r="L44" s="24">
        <v>1275</v>
      </c>
      <c r="M44" s="21">
        <v>28</v>
      </c>
      <c r="N44" s="24">
        <v>19023</v>
      </c>
      <c r="O44" s="23">
        <v>0</v>
      </c>
      <c r="P44" s="24">
        <v>0</v>
      </c>
      <c r="Q44" s="21">
        <v>4</v>
      </c>
      <c r="R44" s="24">
        <v>9259</v>
      </c>
      <c r="S44" s="78">
        <v>1</v>
      </c>
      <c r="T44" s="24">
        <v>363</v>
      </c>
      <c r="U44" s="78">
        <v>0</v>
      </c>
      <c r="V44" s="24">
        <v>22</v>
      </c>
      <c r="W44" s="23">
        <v>2596</v>
      </c>
      <c r="X44" s="24">
        <v>99094</v>
      </c>
      <c r="Y44" s="21">
        <v>35</v>
      </c>
      <c r="Z44" s="24">
        <v>160216</v>
      </c>
      <c r="AA44" s="23">
        <v>163</v>
      </c>
      <c r="AB44" s="24">
        <v>34085</v>
      </c>
    </row>
    <row r="45" spans="1:28" s="6" customFormat="1" ht="16.5" customHeight="1">
      <c r="A45" s="25"/>
      <c r="B45" s="26" t="s">
        <v>12</v>
      </c>
      <c r="C45" s="33">
        <v>3506</v>
      </c>
      <c r="D45" s="44">
        <v>386458</v>
      </c>
      <c r="E45" s="39">
        <v>2803</v>
      </c>
      <c r="F45" s="34">
        <v>169012</v>
      </c>
      <c r="G45" s="31">
        <v>579</v>
      </c>
      <c r="H45" s="32">
        <v>121428</v>
      </c>
      <c r="I45" s="33">
        <v>0</v>
      </c>
      <c r="J45" s="32">
        <v>0</v>
      </c>
      <c r="K45" s="31">
        <v>6</v>
      </c>
      <c r="L45" s="32">
        <v>1689</v>
      </c>
      <c r="M45" s="33">
        <v>59</v>
      </c>
      <c r="N45" s="32">
        <v>29928</v>
      </c>
      <c r="O45" s="31">
        <v>0</v>
      </c>
      <c r="P45" s="32">
        <v>0</v>
      </c>
      <c r="Q45" s="33">
        <v>4</v>
      </c>
      <c r="R45" s="32">
        <v>8960</v>
      </c>
      <c r="S45" s="79">
        <v>0</v>
      </c>
      <c r="T45" s="32">
        <v>171</v>
      </c>
      <c r="U45" s="33">
        <v>0</v>
      </c>
      <c r="V45" s="32">
        <v>0</v>
      </c>
      <c r="W45" s="33">
        <v>0</v>
      </c>
      <c r="X45" s="32">
        <v>0</v>
      </c>
      <c r="Y45" s="33">
        <v>0</v>
      </c>
      <c r="Z45" s="32">
        <v>0</v>
      </c>
      <c r="AA45" s="31">
        <v>55</v>
      </c>
      <c r="AB45" s="32">
        <v>55270</v>
      </c>
    </row>
    <row r="46" spans="1:4" s="74" customFormat="1" ht="16.5" customHeight="1" thickBot="1">
      <c r="A46" s="76" t="s">
        <v>57</v>
      </c>
      <c r="B46" s="77"/>
      <c r="C46" s="77"/>
      <c r="D46" s="77"/>
    </row>
    <row r="47" spans="1:28" s="72" customFormat="1" ht="13.5">
      <c r="A47" s="114" t="str">
        <f>"2021（令和3）年"&amp;COUNTA(E34:E45)&amp;"月迄"</f>
        <v>2021（令和3）年12月迄</v>
      </c>
      <c r="B47" s="115"/>
      <c r="C47" s="71">
        <f>SUM(C34:C45)</f>
        <v>204499</v>
      </c>
      <c r="D47" s="71">
        <f>SUM(D34:D45)</f>
        <v>8860949</v>
      </c>
      <c r="E47" s="71">
        <f>SUM(E34:E45)</f>
        <v>44724</v>
      </c>
      <c r="F47" s="71">
        <f>SUM(F34:F45)</f>
        <v>1959976</v>
      </c>
      <c r="G47" s="71">
        <f>SUM(G34:G45)</f>
        <v>6009</v>
      </c>
      <c r="H47" s="71">
        <f>SUM(H34:H45)-2</f>
        <v>1068581</v>
      </c>
      <c r="I47" s="71">
        <f>SUM(I34:I45)-0</f>
        <v>115</v>
      </c>
      <c r="J47" s="71">
        <f>SUM(J34:J45)</f>
        <v>55723</v>
      </c>
      <c r="K47" s="71">
        <f>SUM(K34:K45)-1</f>
        <v>41</v>
      </c>
      <c r="L47" s="71">
        <f>SUM(L34:L45)-1</f>
        <v>11631</v>
      </c>
      <c r="M47" s="71">
        <f>SUM(M34:M45)-2</f>
        <v>323</v>
      </c>
      <c r="N47" s="71">
        <f>SUM(N34:N45)</f>
        <v>117495</v>
      </c>
      <c r="O47" s="71">
        <f>SUM(O34:O45)-1</f>
        <v>48</v>
      </c>
      <c r="P47" s="71">
        <f>SUM(P34:P45)+1</f>
        <v>27934</v>
      </c>
      <c r="Q47" s="71">
        <f>SUM(Q34:Q45)-1</f>
        <v>77</v>
      </c>
      <c r="R47" s="98">
        <f>SUM(R34:R45)+1</f>
        <v>141900</v>
      </c>
      <c r="S47" s="98">
        <f>SUM(S34:S45)+1</f>
        <v>167</v>
      </c>
      <c r="T47" s="98">
        <f>SUM(T34:T45)-2</f>
        <v>35916</v>
      </c>
      <c r="U47" s="71">
        <f>SUM(U34:U45)+1</f>
        <v>51</v>
      </c>
      <c r="V47" s="71">
        <f>SUM(V34:V45)+0</f>
        <v>5330</v>
      </c>
      <c r="W47" s="71">
        <f>SUM(W34:W45)</f>
        <v>151099</v>
      </c>
      <c r="X47" s="71">
        <f>SUM(X34:X45)</f>
        <v>4881821</v>
      </c>
      <c r="Y47" s="71">
        <f>SUM(Y34:Y45)+1</f>
        <v>36</v>
      </c>
      <c r="Z47" s="71">
        <f>SUM(Z34:Z45)</f>
        <v>160333</v>
      </c>
      <c r="AA47" s="71">
        <f>SUM(AA34:AA45)+2</f>
        <v>1809</v>
      </c>
      <c r="AB47" s="88">
        <f>SUM(AB34:AB45)+3</f>
        <v>394309</v>
      </c>
    </row>
    <row r="48" spans="1:28" s="74" customFormat="1" ht="13.5" customHeight="1">
      <c r="A48" s="116" t="str">
        <f>"前年"&amp;COUNTA(E34:E45)&amp;"月迄"</f>
        <v>前年12月迄</v>
      </c>
      <c r="B48" s="117"/>
      <c r="C48" s="73">
        <f ca="1">SUM(C22:(INDIRECT("c"&amp;COUNT($J34:$J45)+21)))-2</f>
        <v>191635</v>
      </c>
      <c r="D48" s="73">
        <f ca="1">SUM(D22:(INDIRECT("ｄ"&amp;COUNT($J34:$J45)+21)))</f>
        <v>8227253</v>
      </c>
      <c r="E48" s="73">
        <f ca="1">SUM(E22:(INDIRECT("e"&amp;COUNT($J34:$J45)+21)))+1</f>
        <v>39446</v>
      </c>
      <c r="F48" s="73">
        <f ca="1">SUM(F22:(INDIRECT("f"&amp;COUNT($J34:$J45)+21)))-1</f>
        <v>1736823</v>
      </c>
      <c r="G48" s="73">
        <f ca="1">SUM(G22:(INDIRECT("g"&amp;COUNT($J34:$J45)+21)))</f>
        <v>6299</v>
      </c>
      <c r="H48" s="73">
        <f ca="1">SUM(H22:(INDIRECT("h"&amp;COUNT($J34:$J45)+21)))-1</f>
        <v>1115469</v>
      </c>
      <c r="I48" s="73">
        <f ca="1">SUM(I22:(INDIRECT("i"&amp;COUNT($J34:$J45)+21)))</f>
        <v>152</v>
      </c>
      <c r="J48" s="73">
        <f ca="1">SUM(J22:(INDIRECT("j"&amp;COUNT($J34:$J45)+21)))+1</f>
        <v>64458</v>
      </c>
      <c r="K48" s="73">
        <f ca="1">SUM(K22:(INDIRECT("k"&amp;COUNT($J34:$J45)+21)))+1</f>
        <v>502</v>
      </c>
      <c r="L48" s="73">
        <f ca="1">SUM(L22:(INDIRECT("l"&amp;COUNT($J34:$J45)+21)))+3</f>
        <v>275387</v>
      </c>
      <c r="M48" s="73">
        <f ca="1">SUM(M22:(INDIRECT("m"&amp;COUNT($J34:$J45)+21)))</f>
        <v>398</v>
      </c>
      <c r="N48" s="73">
        <f ca="1">SUM(N22:(INDIRECT("n"&amp;COUNT($J34:$J45)+21)))+1</f>
        <v>128970</v>
      </c>
      <c r="O48" s="73">
        <f ca="1">SUM(O22:(INDIRECT("o"&amp;COUNT($J34:$J45)+21)))</f>
        <v>22</v>
      </c>
      <c r="P48" s="73">
        <f ca="1">SUM(P22:(INDIRECT("p"&amp;COUNT($J34:$J45)+21)))</f>
        <v>22091</v>
      </c>
      <c r="Q48" s="73">
        <f ca="1">SUM(Q22:(INDIRECT("q"&amp;COUNT($J34:$J45)+21)))+1</f>
        <v>50</v>
      </c>
      <c r="R48" s="73">
        <f ca="1">SUM(R22:(INDIRECT("r"&amp;COUNT($J34:$J45)+21)))-1</f>
        <v>86691</v>
      </c>
      <c r="S48" s="73">
        <f ca="1">SUM(S22:(INDIRECT("s"&amp;COUNT($J34:$J45)+21)))+1</f>
        <v>551</v>
      </c>
      <c r="T48" s="73">
        <f ca="1">SUM(T22:(INDIRECT("t"&amp;COUNT($J34:$J45)+21)))+1</f>
        <v>66584</v>
      </c>
      <c r="U48" s="73">
        <f ca="1">SUM(U22:(INDIRECT("u"&amp;COUNT($J34:$J45)+21)))</f>
        <v>230</v>
      </c>
      <c r="V48" s="73">
        <f ca="1">SUM(V22:(INDIRECT("v"&amp;COUNT($J34:$J45)+21)))</f>
        <v>40765</v>
      </c>
      <c r="W48" s="73">
        <f ca="1">SUM(W22:(INDIRECT("w"&amp;COUNT($J34:$J45)+21)))+1</f>
        <v>141983</v>
      </c>
      <c r="X48" s="73">
        <f ca="1">SUM(X22:(INDIRECT("x"&amp;COUNT($J34:$J45)+21)))-1</f>
        <v>4167897</v>
      </c>
      <c r="Y48" s="73">
        <f ca="1">SUM(Y22:(INDIRECT("y"&amp;COUNT($J34:$J45)+21)))</f>
        <v>26</v>
      </c>
      <c r="Z48" s="73">
        <f ca="1">SUM(Z22:(INDIRECT("z"&amp;COUNT($J34:$J45)+21)))</f>
        <v>76352</v>
      </c>
      <c r="AA48" s="73">
        <f ca="1">SUM(AA22:(INDIRECT("aa"&amp;COUNT($J34:$J45)+21)))-7</f>
        <v>1976</v>
      </c>
      <c r="AB48" s="89">
        <f ca="1">SUM(AB22:(INDIRECT("ab"&amp;COUNT($J34:$J45)+21)))-2</f>
        <v>445766</v>
      </c>
    </row>
    <row r="49" spans="1:28" s="74" customFormat="1" ht="14.25" thickBot="1">
      <c r="A49" s="118" t="s">
        <v>56</v>
      </c>
      <c r="B49" s="119"/>
      <c r="C49" s="75">
        <f>C47-C48</f>
        <v>12864</v>
      </c>
      <c r="D49" s="75">
        <f aca="true" t="shared" si="0" ref="D49:Z49">D47-D48</f>
        <v>633696</v>
      </c>
      <c r="E49" s="75">
        <f>E47-E48</f>
        <v>5278</v>
      </c>
      <c r="F49" s="75">
        <f t="shared" si="0"/>
        <v>223153</v>
      </c>
      <c r="G49" s="75">
        <f t="shared" si="0"/>
        <v>-290</v>
      </c>
      <c r="H49" s="75">
        <f>H47-H48</f>
        <v>-46888</v>
      </c>
      <c r="I49" s="75">
        <f t="shared" si="0"/>
        <v>-37</v>
      </c>
      <c r="J49" s="75">
        <f t="shared" si="0"/>
        <v>-8735</v>
      </c>
      <c r="K49" s="75">
        <f t="shared" si="0"/>
        <v>-461</v>
      </c>
      <c r="L49" s="75">
        <f t="shared" si="0"/>
        <v>-263756</v>
      </c>
      <c r="M49" s="75">
        <f t="shared" si="0"/>
        <v>-75</v>
      </c>
      <c r="N49" s="75">
        <f t="shared" si="0"/>
        <v>-11475</v>
      </c>
      <c r="O49" s="75">
        <f t="shared" si="0"/>
        <v>26</v>
      </c>
      <c r="P49" s="75">
        <f t="shared" si="0"/>
        <v>5843</v>
      </c>
      <c r="Q49" s="75">
        <f t="shared" si="0"/>
        <v>27</v>
      </c>
      <c r="R49" s="101">
        <f t="shared" si="0"/>
        <v>55209</v>
      </c>
      <c r="S49" s="102">
        <f>S47-S48</f>
        <v>-384</v>
      </c>
      <c r="T49" s="101">
        <f t="shared" si="0"/>
        <v>-30668</v>
      </c>
      <c r="U49" s="75">
        <f>U47-U48</f>
        <v>-179</v>
      </c>
      <c r="V49" s="75">
        <f t="shared" si="0"/>
        <v>-35435</v>
      </c>
      <c r="W49" s="75">
        <f t="shared" si="0"/>
        <v>9116</v>
      </c>
      <c r="X49" s="75">
        <f t="shared" si="0"/>
        <v>713924</v>
      </c>
      <c r="Y49" s="75">
        <f t="shared" si="0"/>
        <v>10</v>
      </c>
      <c r="Z49" s="75">
        <f t="shared" si="0"/>
        <v>83981</v>
      </c>
      <c r="AA49" s="75">
        <f>AA47-AA48</f>
        <v>-167</v>
      </c>
      <c r="AB49" s="90">
        <f>AB47-AB48</f>
        <v>-51457</v>
      </c>
    </row>
    <row r="50" s="6" customFormat="1" ht="16.5" customHeight="1">
      <c r="A50" s="6" t="s">
        <v>19</v>
      </c>
    </row>
    <row r="51" s="6" customFormat="1" ht="16.5" customHeight="1">
      <c r="A51" s="6" t="s">
        <v>20</v>
      </c>
    </row>
    <row r="52" s="1" customFormat="1" ht="15" customHeight="1"/>
    <row r="53" spans="3:28" ht="13.5"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</row>
  </sheetData>
  <sheetProtection/>
  <mergeCells count="17">
    <mergeCell ref="Y4:Z4"/>
    <mergeCell ref="AA4:AB4"/>
    <mergeCell ref="A47:B47"/>
    <mergeCell ref="A48:B48"/>
    <mergeCell ref="A49:B49"/>
    <mergeCell ref="M4:N4"/>
    <mergeCell ref="O4:P4"/>
    <mergeCell ref="Q4:R4"/>
    <mergeCell ref="S4:T4"/>
    <mergeCell ref="U4:V4"/>
    <mergeCell ref="W4:X4"/>
    <mergeCell ref="A4:B5"/>
    <mergeCell ref="C4:D4"/>
    <mergeCell ref="E4:F4"/>
    <mergeCell ref="G4:H4"/>
    <mergeCell ref="I4:J4"/>
    <mergeCell ref="K4:L4"/>
  </mergeCells>
  <conditionalFormatting sqref="C47:R48 V48:AB48 C49:AB49 T47:AB47">
    <cfRule type="cellIs" priority="2" dxfId="12" operator="equal" stopIfTrue="1">
      <formula>0</formula>
    </cfRule>
  </conditionalFormatting>
  <conditionalFormatting sqref="S47">
    <cfRule type="cellIs" priority="1" dxfId="12" operator="equal" stopIfTrue="1">
      <formula>0</formula>
    </cfRule>
  </conditionalFormatting>
  <printOptions/>
  <pageMargins left="0.75" right="0.75" top="1" bottom="1" header="0.512" footer="0.512"/>
  <pageSetup fitToWidth="0" fitToHeight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7.59765625" style="56" customWidth="1"/>
    <col min="2" max="2" width="5.5" style="56" customWidth="1"/>
    <col min="3" max="3" width="11.8984375" style="56" customWidth="1"/>
    <col min="4" max="4" width="13.5" style="56" customWidth="1"/>
    <col min="5" max="5" width="8.59765625" style="56" customWidth="1"/>
    <col min="6" max="6" width="11.8984375" style="56" customWidth="1"/>
    <col min="7" max="7" width="8.59765625" style="56" customWidth="1"/>
    <col min="8" max="8" width="11.8984375" style="56" customWidth="1"/>
    <col min="9" max="9" width="8.59765625" style="56" customWidth="1"/>
    <col min="10" max="10" width="11.8984375" style="56" customWidth="1"/>
    <col min="11" max="11" width="8.59765625" style="56" customWidth="1"/>
    <col min="12" max="12" width="11.8984375" style="56" customWidth="1"/>
    <col min="13" max="13" width="8.59765625" style="56" customWidth="1"/>
    <col min="14" max="14" width="11.8984375" style="56" customWidth="1"/>
    <col min="15" max="15" width="8.59765625" style="56" customWidth="1"/>
    <col min="16" max="16" width="11.8984375" style="56" customWidth="1"/>
    <col min="17" max="17" width="8.59765625" style="56" customWidth="1"/>
    <col min="18" max="18" width="11.8984375" style="56" customWidth="1"/>
    <col min="19" max="19" width="8.59765625" style="56" customWidth="1"/>
    <col min="20" max="20" width="11.8984375" style="56" customWidth="1"/>
    <col min="21" max="21" width="8.59765625" style="56" customWidth="1"/>
    <col min="22" max="22" width="11.8984375" style="56" customWidth="1"/>
    <col min="23" max="23" width="10.5" style="56" bestFit="1" customWidth="1"/>
    <col min="24" max="24" width="11.8984375" style="56" customWidth="1"/>
    <col min="25" max="25" width="8.59765625" style="56" customWidth="1"/>
    <col min="26" max="26" width="11.8984375" style="56" customWidth="1"/>
    <col min="27" max="27" width="8.59765625" style="56" customWidth="1"/>
    <col min="28" max="28" width="11.8984375" style="56" customWidth="1"/>
    <col min="29" max="16384" width="9" style="56" customWidth="1"/>
  </cols>
  <sheetData>
    <row r="1" spans="1:4" ht="16.5" customHeight="1">
      <c r="A1" s="5" t="s">
        <v>90</v>
      </c>
      <c r="C1" s="5"/>
      <c r="D1" s="5"/>
    </row>
    <row r="2" ht="13.5" customHeight="1"/>
    <row r="3" s="6" customFormat="1" ht="16.5" customHeight="1">
      <c r="A3" s="6" t="s">
        <v>31</v>
      </c>
    </row>
    <row r="4" spans="1:28" s="6" customFormat="1" ht="18.75" customHeight="1">
      <c r="A4" s="120" t="s">
        <v>18</v>
      </c>
      <c r="B4" s="121"/>
      <c r="C4" s="124" t="s">
        <v>0</v>
      </c>
      <c r="D4" s="125"/>
      <c r="E4" s="126" t="s">
        <v>14</v>
      </c>
      <c r="F4" s="113"/>
      <c r="G4" s="112" t="s">
        <v>21</v>
      </c>
      <c r="H4" s="113"/>
      <c r="I4" s="112" t="s">
        <v>22</v>
      </c>
      <c r="J4" s="113"/>
      <c r="K4" s="112" t="s">
        <v>23</v>
      </c>
      <c r="L4" s="113"/>
      <c r="M4" s="112" t="s">
        <v>24</v>
      </c>
      <c r="N4" s="113"/>
      <c r="O4" s="112" t="s">
        <v>15</v>
      </c>
      <c r="P4" s="113"/>
      <c r="Q4" s="112" t="s">
        <v>25</v>
      </c>
      <c r="R4" s="113"/>
      <c r="S4" s="112" t="s">
        <v>26</v>
      </c>
      <c r="T4" s="113"/>
      <c r="U4" s="112" t="s">
        <v>27</v>
      </c>
      <c r="V4" s="113"/>
      <c r="W4" s="112" t="s">
        <v>28</v>
      </c>
      <c r="X4" s="113"/>
      <c r="Y4" s="112" t="s">
        <v>29</v>
      </c>
      <c r="Z4" s="113"/>
      <c r="AA4" s="112" t="s">
        <v>30</v>
      </c>
      <c r="AB4" s="113"/>
    </row>
    <row r="5" spans="1:28" s="6" customFormat="1" ht="18.75" customHeight="1">
      <c r="A5" s="122"/>
      <c r="B5" s="123"/>
      <c r="C5" s="7" t="s">
        <v>16</v>
      </c>
      <c r="D5" s="40" t="s">
        <v>17</v>
      </c>
      <c r="E5" s="35" t="s">
        <v>16</v>
      </c>
      <c r="F5" s="10" t="s">
        <v>17</v>
      </c>
      <c r="G5" s="7" t="s">
        <v>16</v>
      </c>
      <c r="H5" s="8" t="s">
        <v>17</v>
      </c>
      <c r="I5" s="9" t="s">
        <v>16</v>
      </c>
      <c r="J5" s="10" t="s">
        <v>17</v>
      </c>
      <c r="K5" s="7" t="s">
        <v>16</v>
      </c>
      <c r="L5" s="8" t="s">
        <v>17</v>
      </c>
      <c r="M5" s="9" t="s">
        <v>16</v>
      </c>
      <c r="N5" s="10" t="s">
        <v>17</v>
      </c>
      <c r="O5" s="7" t="s">
        <v>16</v>
      </c>
      <c r="P5" s="8" t="s">
        <v>17</v>
      </c>
      <c r="Q5" s="9" t="s">
        <v>16</v>
      </c>
      <c r="R5" s="8" t="s">
        <v>17</v>
      </c>
      <c r="S5" s="7" t="s">
        <v>16</v>
      </c>
      <c r="T5" s="8" t="s">
        <v>17</v>
      </c>
      <c r="U5" s="9" t="s">
        <v>16</v>
      </c>
      <c r="V5" s="10" t="s">
        <v>17</v>
      </c>
      <c r="W5" s="7" t="s">
        <v>16</v>
      </c>
      <c r="X5" s="8" t="s">
        <v>17</v>
      </c>
      <c r="Y5" s="9" t="s">
        <v>16</v>
      </c>
      <c r="Z5" s="8" t="s">
        <v>17</v>
      </c>
      <c r="AA5" s="7" t="s">
        <v>16</v>
      </c>
      <c r="AB5" s="8" t="s">
        <v>17</v>
      </c>
    </row>
    <row r="6" spans="1:28" s="6" customFormat="1" ht="18.75" customHeight="1">
      <c r="A6" s="11" t="s">
        <v>71</v>
      </c>
      <c r="B6" s="85" t="s">
        <v>13</v>
      </c>
      <c r="C6" s="27">
        <v>114577</v>
      </c>
      <c r="D6" s="41">
        <v>11911835</v>
      </c>
      <c r="E6" s="36">
        <v>53813</v>
      </c>
      <c r="F6" s="30">
        <v>3896698</v>
      </c>
      <c r="G6" s="27">
        <v>3869</v>
      </c>
      <c r="H6" s="28">
        <v>966494</v>
      </c>
      <c r="I6" s="29">
        <v>28526</v>
      </c>
      <c r="J6" s="28">
        <v>1985504</v>
      </c>
      <c r="K6" s="27">
        <v>3602</v>
      </c>
      <c r="L6" s="28">
        <v>587516</v>
      </c>
      <c r="M6" s="29">
        <v>1345</v>
      </c>
      <c r="N6" s="28">
        <v>705161</v>
      </c>
      <c r="O6" s="27">
        <v>1579</v>
      </c>
      <c r="P6" s="28">
        <v>856075</v>
      </c>
      <c r="Q6" s="29">
        <v>118</v>
      </c>
      <c r="R6" s="28">
        <v>212500</v>
      </c>
      <c r="S6" s="27">
        <v>741</v>
      </c>
      <c r="T6" s="28">
        <v>140828</v>
      </c>
      <c r="U6" s="29">
        <v>3364</v>
      </c>
      <c r="V6" s="28">
        <v>78773</v>
      </c>
      <c r="W6" s="27">
        <v>2280</v>
      </c>
      <c r="X6" s="28">
        <v>43754</v>
      </c>
      <c r="Y6" s="29">
        <v>251</v>
      </c>
      <c r="Z6" s="28">
        <v>257030</v>
      </c>
      <c r="AA6" s="27">
        <v>15089</v>
      </c>
      <c r="AB6" s="28">
        <v>2181502</v>
      </c>
    </row>
    <row r="7" spans="1:28" s="6" customFormat="1" ht="18.75" customHeight="1">
      <c r="A7" s="19" t="s">
        <v>70</v>
      </c>
      <c r="B7" s="86" t="s">
        <v>13</v>
      </c>
      <c r="C7" s="23">
        <v>137948</v>
      </c>
      <c r="D7" s="43">
        <v>14562957</v>
      </c>
      <c r="E7" s="38">
        <v>55786</v>
      </c>
      <c r="F7" s="22">
        <v>4489157</v>
      </c>
      <c r="G7" s="23">
        <v>3310</v>
      </c>
      <c r="H7" s="24">
        <v>992926</v>
      </c>
      <c r="I7" s="21">
        <v>27899</v>
      </c>
      <c r="J7" s="24">
        <v>2081572</v>
      </c>
      <c r="K7" s="23">
        <v>3869</v>
      </c>
      <c r="L7" s="24">
        <v>893617</v>
      </c>
      <c r="M7" s="21">
        <v>1490</v>
      </c>
      <c r="N7" s="24">
        <v>754333</v>
      </c>
      <c r="O7" s="23">
        <v>1487</v>
      </c>
      <c r="P7" s="24">
        <v>916744</v>
      </c>
      <c r="Q7" s="21">
        <v>108</v>
      </c>
      <c r="R7" s="24">
        <v>195023</v>
      </c>
      <c r="S7" s="23">
        <v>725</v>
      </c>
      <c r="T7" s="24">
        <v>89569</v>
      </c>
      <c r="U7" s="21">
        <v>1891</v>
      </c>
      <c r="V7" s="24">
        <v>144705</v>
      </c>
      <c r="W7" s="23">
        <v>16112</v>
      </c>
      <c r="X7" s="24">
        <v>382795</v>
      </c>
      <c r="Y7" s="46">
        <v>360</v>
      </c>
      <c r="Z7" s="24">
        <v>326991</v>
      </c>
      <c r="AA7" s="23">
        <v>24912</v>
      </c>
      <c r="AB7" s="24">
        <v>3295525</v>
      </c>
    </row>
    <row r="8" spans="1:28" s="6" customFormat="1" ht="18.75" customHeight="1">
      <c r="A8" s="19" t="s">
        <v>69</v>
      </c>
      <c r="B8" s="86" t="s">
        <v>13</v>
      </c>
      <c r="C8" s="23">
        <v>107569</v>
      </c>
      <c r="D8" s="43">
        <v>12723109</v>
      </c>
      <c r="E8" s="38">
        <v>50408</v>
      </c>
      <c r="F8" s="22">
        <v>4285036</v>
      </c>
      <c r="G8" s="23">
        <v>3511</v>
      </c>
      <c r="H8" s="24">
        <v>1040834</v>
      </c>
      <c r="I8" s="21">
        <v>34098</v>
      </c>
      <c r="J8" s="24">
        <v>2522079</v>
      </c>
      <c r="K8" s="23">
        <v>4992</v>
      </c>
      <c r="L8" s="24">
        <v>660467</v>
      </c>
      <c r="M8" s="21">
        <v>1176</v>
      </c>
      <c r="N8" s="24">
        <v>718806</v>
      </c>
      <c r="O8" s="23">
        <v>1422</v>
      </c>
      <c r="P8" s="24">
        <v>853981</v>
      </c>
      <c r="Q8" s="21">
        <v>103</v>
      </c>
      <c r="R8" s="24">
        <v>171971</v>
      </c>
      <c r="S8" s="23">
        <v>482</v>
      </c>
      <c r="T8" s="24">
        <v>114497</v>
      </c>
      <c r="U8" s="21">
        <v>794</v>
      </c>
      <c r="V8" s="24">
        <v>72318</v>
      </c>
      <c r="W8" s="23">
        <v>52</v>
      </c>
      <c r="X8" s="24">
        <v>2180</v>
      </c>
      <c r="Y8" s="46">
        <v>250</v>
      </c>
      <c r="Z8" s="24">
        <v>366073</v>
      </c>
      <c r="AA8" s="23">
        <v>10282</v>
      </c>
      <c r="AB8" s="24">
        <v>1914866</v>
      </c>
    </row>
    <row r="9" spans="1:28" s="6" customFormat="1" ht="18.75" customHeight="1">
      <c r="A9" s="19" t="s">
        <v>68</v>
      </c>
      <c r="B9" s="86" t="s">
        <v>13</v>
      </c>
      <c r="C9" s="23">
        <v>125679</v>
      </c>
      <c r="D9" s="43">
        <v>15281221</v>
      </c>
      <c r="E9" s="38">
        <v>66253</v>
      </c>
      <c r="F9" s="22">
        <v>6179462</v>
      </c>
      <c r="G9" s="23">
        <v>3669</v>
      </c>
      <c r="H9" s="24">
        <v>1200338</v>
      </c>
      <c r="I9" s="21">
        <v>30698</v>
      </c>
      <c r="J9" s="24">
        <v>2575115</v>
      </c>
      <c r="K9" s="23">
        <v>1852</v>
      </c>
      <c r="L9" s="24">
        <v>257255</v>
      </c>
      <c r="M9" s="21">
        <v>972</v>
      </c>
      <c r="N9" s="24">
        <v>586883</v>
      </c>
      <c r="O9" s="23">
        <v>1462</v>
      </c>
      <c r="P9" s="24">
        <v>895714</v>
      </c>
      <c r="Q9" s="21">
        <v>32</v>
      </c>
      <c r="R9" s="24">
        <v>54093</v>
      </c>
      <c r="S9" s="23">
        <v>233</v>
      </c>
      <c r="T9" s="24">
        <v>70889</v>
      </c>
      <c r="U9" s="21">
        <v>19</v>
      </c>
      <c r="V9" s="24">
        <v>2464</v>
      </c>
      <c r="W9" s="23">
        <v>681</v>
      </c>
      <c r="X9" s="24">
        <v>20030</v>
      </c>
      <c r="Y9" s="46">
        <v>102</v>
      </c>
      <c r="Z9" s="24">
        <v>191992</v>
      </c>
      <c r="AA9" s="23">
        <v>19706</v>
      </c>
      <c r="AB9" s="24">
        <v>3246986</v>
      </c>
    </row>
    <row r="10" spans="1:28" s="6" customFormat="1" ht="18.75" customHeight="1">
      <c r="A10" s="19" t="s">
        <v>67</v>
      </c>
      <c r="B10" s="86" t="s">
        <v>13</v>
      </c>
      <c r="C10" s="23">
        <v>128052</v>
      </c>
      <c r="D10" s="43">
        <v>12154590</v>
      </c>
      <c r="E10" s="38">
        <v>55825</v>
      </c>
      <c r="F10" s="22">
        <v>3325149</v>
      </c>
      <c r="G10" s="23">
        <v>3603</v>
      </c>
      <c r="H10" s="24">
        <v>926514</v>
      </c>
      <c r="I10" s="21">
        <v>28797</v>
      </c>
      <c r="J10" s="24">
        <v>2548975</v>
      </c>
      <c r="K10" s="23">
        <v>4772</v>
      </c>
      <c r="L10" s="24">
        <v>619477</v>
      </c>
      <c r="M10" s="21">
        <v>863</v>
      </c>
      <c r="N10" s="24">
        <v>414570</v>
      </c>
      <c r="O10" s="23">
        <v>1019</v>
      </c>
      <c r="P10" s="24">
        <v>615953</v>
      </c>
      <c r="Q10" s="21">
        <v>72</v>
      </c>
      <c r="R10" s="24">
        <v>121419</v>
      </c>
      <c r="S10" s="23">
        <v>958</v>
      </c>
      <c r="T10" s="24">
        <v>176614</v>
      </c>
      <c r="U10" s="21">
        <v>0</v>
      </c>
      <c r="V10" s="24">
        <v>0</v>
      </c>
      <c r="W10" s="23">
        <v>7138</v>
      </c>
      <c r="X10" s="24">
        <v>123775</v>
      </c>
      <c r="Y10" s="46">
        <v>252</v>
      </c>
      <c r="Z10" s="24">
        <v>250170</v>
      </c>
      <c r="AA10" s="23">
        <v>24753</v>
      </c>
      <c r="AB10" s="24">
        <v>3031974</v>
      </c>
    </row>
    <row r="11" spans="1:28" s="6" customFormat="1" ht="18.75" customHeight="1">
      <c r="A11" s="19" t="s">
        <v>66</v>
      </c>
      <c r="B11" s="86" t="s">
        <v>13</v>
      </c>
      <c r="C11" s="23">
        <v>113990</v>
      </c>
      <c r="D11" s="43">
        <v>11357761</v>
      </c>
      <c r="E11" s="38">
        <v>64240</v>
      </c>
      <c r="F11" s="22">
        <v>4297828</v>
      </c>
      <c r="G11" s="23">
        <v>4715</v>
      </c>
      <c r="H11" s="24">
        <v>1228507</v>
      </c>
      <c r="I11" s="21">
        <v>18531</v>
      </c>
      <c r="J11" s="24">
        <v>2052722</v>
      </c>
      <c r="K11" s="23">
        <v>3085</v>
      </c>
      <c r="L11" s="24">
        <v>713613</v>
      </c>
      <c r="M11" s="21">
        <v>866</v>
      </c>
      <c r="N11" s="24">
        <v>331092</v>
      </c>
      <c r="O11" s="23">
        <v>1282</v>
      </c>
      <c r="P11" s="24">
        <v>899729</v>
      </c>
      <c r="Q11" s="21">
        <v>58</v>
      </c>
      <c r="R11" s="24">
        <v>75496</v>
      </c>
      <c r="S11" s="23">
        <v>429</v>
      </c>
      <c r="T11" s="24">
        <v>88209</v>
      </c>
      <c r="U11" s="21">
        <v>250</v>
      </c>
      <c r="V11" s="24">
        <v>9225</v>
      </c>
      <c r="W11" s="23">
        <v>14742</v>
      </c>
      <c r="X11" s="24">
        <v>356297</v>
      </c>
      <c r="Y11" s="46">
        <v>271</v>
      </c>
      <c r="Z11" s="24">
        <v>190923</v>
      </c>
      <c r="AA11" s="23">
        <v>5521</v>
      </c>
      <c r="AB11" s="24">
        <v>1114120</v>
      </c>
    </row>
    <row r="12" spans="1:28" s="6" customFormat="1" ht="18.75" customHeight="1">
      <c r="A12" s="19" t="s">
        <v>65</v>
      </c>
      <c r="B12" s="86" t="s">
        <v>13</v>
      </c>
      <c r="C12" s="23">
        <v>119641</v>
      </c>
      <c r="D12" s="43">
        <v>9969801</v>
      </c>
      <c r="E12" s="38">
        <v>69584</v>
      </c>
      <c r="F12" s="22">
        <v>2931896</v>
      </c>
      <c r="G12" s="23">
        <v>5691</v>
      </c>
      <c r="H12" s="24">
        <v>1426392</v>
      </c>
      <c r="I12" s="21">
        <v>28277</v>
      </c>
      <c r="J12" s="24">
        <v>2446794</v>
      </c>
      <c r="K12" s="23">
        <v>6271</v>
      </c>
      <c r="L12" s="24">
        <v>1119647</v>
      </c>
      <c r="M12" s="21">
        <v>1303</v>
      </c>
      <c r="N12" s="24">
        <v>482612</v>
      </c>
      <c r="O12" s="23">
        <v>853</v>
      </c>
      <c r="P12" s="24">
        <v>549834</v>
      </c>
      <c r="Q12" s="21">
        <v>97</v>
      </c>
      <c r="R12" s="24">
        <v>92703</v>
      </c>
      <c r="S12" s="23">
        <v>248</v>
      </c>
      <c r="T12" s="24">
        <v>65418</v>
      </c>
      <c r="U12" s="21">
        <v>13</v>
      </c>
      <c r="V12" s="24">
        <v>2146</v>
      </c>
      <c r="W12" s="23">
        <v>3727</v>
      </c>
      <c r="X12" s="24">
        <v>76854</v>
      </c>
      <c r="Y12" s="46">
        <v>138</v>
      </c>
      <c r="Z12" s="24">
        <v>137147</v>
      </c>
      <c r="AA12" s="23">
        <v>3439</v>
      </c>
      <c r="AB12" s="24">
        <v>638358</v>
      </c>
    </row>
    <row r="13" spans="1:28" s="6" customFormat="1" ht="18.75" customHeight="1">
      <c r="A13" s="19" t="s">
        <v>64</v>
      </c>
      <c r="B13" s="86" t="s">
        <v>13</v>
      </c>
      <c r="C13" s="23">
        <v>110258</v>
      </c>
      <c r="D13" s="43">
        <v>8839453</v>
      </c>
      <c r="E13" s="64">
        <v>58421</v>
      </c>
      <c r="F13" s="22">
        <v>2986632</v>
      </c>
      <c r="G13" s="23">
        <v>6652</v>
      </c>
      <c r="H13" s="24">
        <v>1281557</v>
      </c>
      <c r="I13" s="65">
        <v>23683</v>
      </c>
      <c r="J13" s="66">
        <v>1484421</v>
      </c>
      <c r="K13" s="23">
        <v>6664</v>
      </c>
      <c r="L13" s="24">
        <v>963214</v>
      </c>
      <c r="M13" s="21">
        <v>1155</v>
      </c>
      <c r="N13" s="24">
        <v>444008</v>
      </c>
      <c r="O13" s="23">
        <v>504</v>
      </c>
      <c r="P13" s="24">
        <v>237111</v>
      </c>
      <c r="Q13" s="21">
        <v>104</v>
      </c>
      <c r="R13" s="24">
        <v>96695</v>
      </c>
      <c r="S13" s="23">
        <v>47</v>
      </c>
      <c r="T13" s="24">
        <v>11308</v>
      </c>
      <c r="U13" s="21">
        <v>2410</v>
      </c>
      <c r="V13" s="24">
        <v>181592</v>
      </c>
      <c r="W13" s="46">
        <v>3162</v>
      </c>
      <c r="X13" s="24">
        <v>77658</v>
      </c>
      <c r="Y13" s="46">
        <v>192</v>
      </c>
      <c r="Z13" s="24">
        <v>321608</v>
      </c>
      <c r="AA13" s="67">
        <v>7264</v>
      </c>
      <c r="AB13" s="66">
        <v>753649</v>
      </c>
    </row>
    <row r="14" spans="1:28" s="48" customFormat="1" ht="18.75" customHeight="1">
      <c r="A14" s="19" t="s">
        <v>63</v>
      </c>
      <c r="B14" s="86" t="s">
        <v>13</v>
      </c>
      <c r="C14" s="23">
        <v>110668</v>
      </c>
      <c r="D14" s="43">
        <v>9021716</v>
      </c>
      <c r="E14" s="64">
        <v>65699</v>
      </c>
      <c r="F14" s="22">
        <v>3137775</v>
      </c>
      <c r="G14" s="23">
        <v>7287</v>
      </c>
      <c r="H14" s="24">
        <v>1124322</v>
      </c>
      <c r="I14" s="65">
        <v>15196</v>
      </c>
      <c r="J14" s="66">
        <v>1527694</v>
      </c>
      <c r="K14" s="23">
        <v>3001</v>
      </c>
      <c r="L14" s="24">
        <v>709906</v>
      </c>
      <c r="M14" s="21">
        <v>986</v>
      </c>
      <c r="N14" s="24">
        <v>319190</v>
      </c>
      <c r="O14" s="23">
        <v>268</v>
      </c>
      <c r="P14" s="24">
        <v>173234</v>
      </c>
      <c r="Q14" s="21">
        <v>181</v>
      </c>
      <c r="R14" s="24">
        <v>178894</v>
      </c>
      <c r="S14" s="23">
        <v>116</v>
      </c>
      <c r="T14" s="24">
        <v>38062</v>
      </c>
      <c r="U14" s="21">
        <v>2695</v>
      </c>
      <c r="V14" s="24">
        <v>400759</v>
      </c>
      <c r="W14" s="21">
        <v>9483</v>
      </c>
      <c r="X14" s="24">
        <v>327673</v>
      </c>
      <c r="Y14" s="21">
        <v>196</v>
      </c>
      <c r="Z14" s="24">
        <v>342030</v>
      </c>
      <c r="AA14" s="67">
        <v>5560</v>
      </c>
      <c r="AB14" s="66">
        <v>742177</v>
      </c>
    </row>
    <row r="15" spans="1:28" s="48" customFormat="1" ht="18.75" customHeight="1">
      <c r="A15" s="19" t="s">
        <v>62</v>
      </c>
      <c r="B15" s="86" t="s">
        <v>13</v>
      </c>
      <c r="C15" s="23">
        <v>130571</v>
      </c>
      <c r="D15" s="43">
        <v>12777794</v>
      </c>
      <c r="E15" s="64">
        <v>56430</v>
      </c>
      <c r="F15" s="22">
        <v>3445393</v>
      </c>
      <c r="G15" s="23">
        <v>5709</v>
      </c>
      <c r="H15" s="24">
        <v>1339390</v>
      </c>
      <c r="I15" s="65">
        <v>23207</v>
      </c>
      <c r="J15" s="66">
        <v>2204697</v>
      </c>
      <c r="K15" s="23">
        <v>8431</v>
      </c>
      <c r="L15" s="24">
        <v>1895592</v>
      </c>
      <c r="M15" s="21">
        <v>610</v>
      </c>
      <c r="N15" s="24">
        <v>220837</v>
      </c>
      <c r="O15" s="23">
        <v>431</v>
      </c>
      <c r="P15" s="24">
        <v>285937</v>
      </c>
      <c r="Q15" s="21">
        <v>166</v>
      </c>
      <c r="R15" s="24">
        <v>212345</v>
      </c>
      <c r="S15" s="23">
        <v>36</v>
      </c>
      <c r="T15" s="24">
        <v>22854</v>
      </c>
      <c r="U15" s="21">
        <v>9317</v>
      </c>
      <c r="V15" s="24">
        <v>791049</v>
      </c>
      <c r="W15" s="21">
        <v>20523</v>
      </c>
      <c r="X15" s="24">
        <v>1040849</v>
      </c>
      <c r="Y15" s="21">
        <v>120</v>
      </c>
      <c r="Z15" s="24">
        <v>176301</v>
      </c>
      <c r="AA15" s="67">
        <v>5591</v>
      </c>
      <c r="AB15" s="66">
        <v>1142550</v>
      </c>
    </row>
    <row r="16" spans="1:28" s="48" customFormat="1" ht="18.75" customHeight="1">
      <c r="A16" s="19" t="s">
        <v>61</v>
      </c>
      <c r="B16" s="86" t="s">
        <v>13</v>
      </c>
      <c r="C16" s="23">
        <v>114977</v>
      </c>
      <c r="D16" s="43">
        <v>12142655</v>
      </c>
      <c r="E16" s="64">
        <v>50726</v>
      </c>
      <c r="F16" s="22">
        <v>3216817</v>
      </c>
      <c r="G16" s="23">
        <v>6020</v>
      </c>
      <c r="H16" s="24">
        <v>1732939</v>
      </c>
      <c r="I16" s="65">
        <v>7166</v>
      </c>
      <c r="J16" s="66">
        <v>1226828</v>
      </c>
      <c r="K16" s="23">
        <v>8254</v>
      </c>
      <c r="L16" s="24">
        <v>2031081</v>
      </c>
      <c r="M16" s="21">
        <v>527</v>
      </c>
      <c r="N16" s="24">
        <v>210163</v>
      </c>
      <c r="O16" s="23">
        <v>151</v>
      </c>
      <c r="P16" s="24">
        <v>89239</v>
      </c>
      <c r="Q16" s="21">
        <v>177</v>
      </c>
      <c r="R16" s="24">
        <v>266286</v>
      </c>
      <c r="S16" s="23">
        <v>3</v>
      </c>
      <c r="T16" s="24">
        <v>1554</v>
      </c>
      <c r="U16" s="21">
        <v>10815</v>
      </c>
      <c r="V16" s="24">
        <v>721345</v>
      </c>
      <c r="W16" s="21">
        <v>28805</v>
      </c>
      <c r="X16" s="24">
        <v>1738868</v>
      </c>
      <c r="Y16" s="21">
        <v>252</v>
      </c>
      <c r="Z16" s="24">
        <v>301961</v>
      </c>
      <c r="AA16" s="67">
        <v>2081</v>
      </c>
      <c r="AB16" s="66">
        <v>605574</v>
      </c>
    </row>
    <row r="17" spans="1:28" s="82" customFormat="1" ht="18" customHeight="1">
      <c r="A17" s="19" t="s">
        <v>60</v>
      </c>
      <c r="B17" s="86" t="s">
        <v>13</v>
      </c>
      <c r="C17" s="23">
        <v>114207</v>
      </c>
      <c r="D17" s="43">
        <v>10099229</v>
      </c>
      <c r="E17" s="64">
        <v>39487</v>
      </c>
      <c r="F17" s="22">
        <v>2296624</v>
      </c>
      <c r="G17" s="23">
        <v>6378</v>
      </c>
      <c r="H17" s="24">
        <v>1563395</v>
      </c>
      <c r="I17" s="65">
        <v>5659</v>
      </c>
      <c r="J17" s="66">
        <v>1004696</v>
      </c>
      <c r="K17" s="23">
        <v>1468</v>
      </c>
      <c r="L17" s="24">
        <v>728045</v>
      </c>
      <c r="M17" s="21">
        <v>526</v>
      </c>
      <c r="N17" s="24">
        <v>230714</v>
      </c>
      <c r="O17" s="23">
        <v>138</v>
      </c>
      <c r="P17" s="24">
        <v>81800</v>
      </c>
      <c r="Q17" s="21">
        <v>117</v>
      </c>
      <c r="R17" s="24">
        <v>193017</v>
      </c>
      <c r="S17" s="23">
        <v>1</v>
      </c>
      <c r="T17" s="24">
        <v>984</v>
      </c>
      <c r="U17" s="21">
        <v>6661</v>
      </c>
      <c r="V17" s="24">
        <v>761320</v>
      </c>
      <c r="W17" s="21">
        <v>49471</v>
      </c>
      <c r="X17" s="24">
        <v>2096873</v>
      </c>
      <c r="Y17" s="21">
        <v>170</v>
      </c>
      <c r="Z17" s="24">
        <v>290996</v>
      </c>
      <c r="AA17" s="67">
        <v>4131</v>
      </c>
      <c r="AB17" s="66">
        <v>850765</v>
      </c>
    </row>
    <row r="18" spans="1:28" s="82" customFormat="1" ht="18" customHeight="1">
      <c r="A18" s="19" t="s">
        <v>59</v>
      </c>
      <c r="B18" s="86" t="s">
        <v>13</v>
      </c>
      <c r="C18" s="23">
        <v>139678</v>
      </c>
      <c r="D18" s="43">
        <v>10203667</v>
      </c>
      <c r="E18" s="38">
        <v>41087</v>
      </c>
      <c r="F18" s="22">
        <v>2165141</v>
      </c>
      <c r="G18" s="23">
        <v>7404</v>
      </c>
      <c r="H18" s="24">
        <v>1918351</v>
      </c>
      <c r="I18" s="65">
        <v>2740</v>
      </c>
      <c r="J18" s="66">
        <v>826415</v>
      </c>
      <c r="K18" s="23">
        <v>45</v>
      </c>
      <c r="L18" s="24">
        <v>13887</v>
      </c>
      <c r="M18" s="21">
        <v>665</v>
      </c>
      <c r="N18" s="24">
        <v>225402</v>
      </c>
      <c r="O18" s="23">
        <v>79</v>
      </c>
      <c r="P18" s="24">
        <v>51109</v>
      </c>
      <c r="Q18" s="21">
        <v>131</v>
      </c>
      <c r="R18" s="24">
        <v>256582</v>
      </c>
      <c r="S18" s="78">
        <v>0</v>
      </c>
      <c r="T18" s="24">
        <v>129</v>
      </c>
      <c r="U18" s="21">
        <v>7653</v>
      </c>
      <c r="V18" s="24">
        <v>659566</v>
      </c>
      <c r="W18" s="21">
        <v>76793</v>
      </c>
      <c r="X18" s="24">
        <v>3170909</v>
      </c>
      <c r="Y18" s="21">
        <v>100</v>
      </c>
      <c r="Z18" s="24">
        <v>204717</v>
      </c>
      <c r="AA18" s="67">
        <v>2981</v>
      </c>
      <c r="AB18" s="66">
        <v>711459</v>
      </c>
    </row>
    <row r="19" spans="1:28" s="82" customFormat="1" ht="18" customHeight="1">
      <c r="A19" s="19" t="s">
        <v>72</v>
      </c>
      <c r="B19" s="86" t="s">
        <v>13</v>
      </c>
      <c r="C19" s="23">
        <v>121878</v>
      </c>
      <c r="D19" s="43">
        <v>8238832</v>
      </c>
      <c r="E19" s="38">
        <v>31514</v>
      </c>
      <c r="F19" s="22">
        <v>2021680</v>
      </c>
      <c r="G19" s="23">
        <v>5258</v>
      </c>
      <c r="H19" s="24">
        <v>1205230</v>
      </c>
      <c r="I19" s="65">
        <v>5389</v>
      </c>
      <c r="J19" s="66">
        <v>895034</v>
      </c>
      <c r="K19" s="23">
        <v>117</v>
      </c>
      <c r="L19" s="24">
        <v>50272</v>
      </c>
      <c r="M19" s="21">
        <v>698</v>
      </c>
      <c r="N19" s="24">
        <v>206921</v>
      </c>
      <c r="O19" s="23">
        <v>103</v>
      </c>
      <c r="P19" s="24">
        <v>57670</v>
      </c>
      <c r="Q19" s="21">
        <v>92</v>
      </c>
      <c r="R19" s="24">
        <v>167817</v>
      </c>
      <c r="S19" s="23">
        <v>12</v>
      </c>
      <c r="T19" s="24">
        <v>1580</v>
      </c>
      <c r="U19" s="21">
        <v>1360</v>
      </c>
      <c r="V19" s="24">
        <v>209669</v>
      </c>
      <c r="W19" s="21">
        <v>72696</v>
      </c>
      <c r="X19" s="24">
        <v>2474585</v>
      </c>
      <c r="Y19" s="21">
        <v>144</v>
      </c>
      <c r="Z19" s="24">
        <v>154433</v>
      </c>
      <c r="AA19" s="67">
        <v>4495</v>
      </c>
      <c r="AB19" s="66">
        <v>793941</v>
      </c>
    </row>
    <row r="20" spans="1:28" s="82" customFormat="1" ht="18" customHeight="1" thickBot="1">
      <c r="A20" s="13" t="s">
        <v>93</v>
      </c>
      <c r="B20" s="87" t="s">
        <v>13</v>
      </c>
      <c r="C20" s="17">
        <v>172268</v>
      </c>
      <c r="D20" s="42">
        <v>8330487</v>
      </c>
      <c r="E20" s="37">
        <v>30987</v>
      </c>
      <c r="F20" s="16">
        <v>1780141</v>
      </c>
      <c r="G20" s="17">
        <v>6024</v>
      </c>
      <c r="H20" s="18">
        <v>1196731</v>
      </c>
      <c r="I20" s="61">
        <v>1279</v>
      </c>
      <c r="J20" s="62">
        <v>298619</v>
      </c>
      <c r="K20" s="17">
        <v>112</v>
      </c>
      <c r="L20" s="18">
        <v>58728</v>
      </c>
      <c r="M20" s="15">
        <v>591</v>
      </c>
      <c r="N20" s="18">
        <v>141378</v>
      </c>
      <c r="O20" s="17">
        <v>51</v>
      </c>
      <c r="P20" s="18">
        <v>31680</v>
      </c>
      <c r="Q20" s="15">
        <v>95</v>
      </c>
      <c r="R20" s="18">
        <v>172561</v>
      </c>
      <c r="S20" s="91">
        <v>35</v>
      </c>
      <c r="T20" s="18">
        <v>16181</v>
      </c>
      <c r="U20" s="15">
        <v>423</v>
      </c>
      <c r="V20" s="18">
        <v>56195</v>
      </c>
      <c r="W20" s="15">
        <v>129235</v>
      </c>
      <c r="X20" s="18">
        <v>3852515</v>
      </c>
      <c r="Y20" s="15">
        <v>63</v>
      </c>
      <c r="Z20" s="18">
        <v>92086</v>
      </c>
      <c r="AA20" s="63">
        <v>3373</v>
      </c>
      <c r="AB20" s="62">
        <v>633672</v>
      </c>
    </row>
    <row r="21" spans="1:28" s="6" customFormat="1" ht="16.5" customHeight="1" thickTop="1">
      <c r="A21" s="19" t="s">
        <v>87</v>
      </c>
      <c r="B21" s="20" t="s">
        <v>1</v>
      </c>
      <c r="C21" s="23">
        <v>2720</v>
      </c>
      <c r="D21" s="43">
        <v>390003</v>
      </c>
      <c r="E21" s="38">
        <v>1653</v>
      </c>
      <c r="F21" s="22">
        <v>179787</v>
      </c>
      <c r="G21" s="23">
        <v>922</v>
      </c>
      <c r="H21" s="24">
        <v>156859</v>
      </c>
      <c r="I21" s="21">
        <v>0</v>
      </c>
      <c r="J21" s="24">
        <v>0</v>
      </c>
      <c r="K21" s="23">
        <v>4</v>
      </c>
      <c r="L21" s="24">
        <v>750</v>
      </c>
      <c r="M21" s="21">
        <v>73</v>
      </c>
      <c r="N21" s="24">
        <v>14907</v>
      </c>
      <c r="O21" s="23">
        <v>0</v>
      </c>
      <c r="P21" s="24">
        <v>0</v>
      </c>
      <c r="Q21" s="46">
        <v>3</v>
      </c>
      <c r="R21" s="24">
        <v>4963</v>
      </c>
      <c r="S21" s="92">
        <v>6</v>
      </c>
      <c r="T21" s="24">
        <v>2822</v>
      </c>
      <c r="U21" s="21">
        <v>0</v>
      </c>
      <c r="V21" s="24">
        <v>0</v>
      </c>
      <c r="W21" s="21">
        <v>0</v>
      </c>
      <c r="X21" s="24">
        <v>0</v>
      </c>
      <c r="Y21" s="21">
        <v>0</v>
      </c>
      <c r="Z21" s="24">
        <v>0</v>
      </c>
      <c r="AA21" s="23">
        <v>59</v>
      </c>
      <c r="AB21" s="24">
        <v>29915</v>
      </c>
    </row>
    <row r="22" spans="1:28" s="6" customFormat="1" ht="16.5" customHeight="1">
      <c r="A22" s="19"/>
      <c r="B22" s="20" t="s">
        <v>2</v>
      </c>
      <c r="C22" s="23">
        <v>3191</v>
      </c>
      <c r="D22" s="43">
        <v>371501</v>
      </c>
      <c r="E22" s="38">
        <v>2240</v>
      </c>
      <c r="F22" s="22">
        <v>199712</v>
      </c>
      <c r="G22" s="23">
        <v>758</v>
      </c>
      <c r="H22" s="24">
        <v>119046</v>
      </c>
      <c r="I22" s="21">
        <v>0</v>
      </c>
      <c r="J22" s="24">
        <v>0</v>
      </c>
      <c r="K22" s="23">
        <v>5</v>
      </c>
      <c r="L22" s="24">
        <v>934</v>
      </c>
      <c r="M22" s="21">
        <v>105</v>
      </c>
      <c r="N22" s="24">
        <v>18415</v>
      </c>
      <c r="O22" s="23">
        <v>0</v>
      </c>
      <c r="P22" s="24">
        <v>0</v>
      </c>
      <c r="Q22" s="46">
        <v>4</v>
      </c>
      <c r="R22" s="24">
        <v>8674</v>
      </c>
      <c r="S22" s="45">
        <v>12</v>
      </c>
      <c r="T22" s="24">
        <v>5033</v>
      </c>
      <c r="U22" s="21">
        <v>0</v>
      </c>
      <c r="V22" s="24">
        <v>0</v>
      </c>
      <c r="W22" s="23">
        <v>0</v>
      </c>
      <c r="X22" s="24">
        <v>0</v>
      </c>
      <c r="Y22" s="21">
        <v>0</v>
      </c>
      <c r="Z22" s="24">
        <v>0</v>
      </c>
      <c r="AA22" s="23">
        <v>67</v>
      </c>
      <c r="AB22" s="24">
        <v>19687</v>
      </c>
    </row>
    <row r="23" spans="1:28" s="6" customFormat="1" ht="16.5" customHeight="1">
      <c r="A23" s="19"/>
      <c r="B23" s="20" t="s">
        <v>3</v>
      </c>
      <c r="C23" s="23">
        <v>3518</v>
      </c>
      <c r="D23" s="43">
        <v>340282</v>
      </c>
      <c r="E23" s="38">
        <v>2854</v>
      </c>
      <c r="F23" s="22">
        <v>206786</v>
      </c>
      <c r="G23" s="23">
        <v>520</v>
      </c>
      <c r="H23" s="24">
        <v>95943</v>
      </c>
      <c r="I23" s="21">
        <v>0</v>
      </c>
      <c r="J23" s="24">
        <v>0</v>
      </c>
      <c r="K23" s="23">
        <v>5</v>
      </c>
      <c r="L23" s="24">
        <v>1062</v>
      </c>
      <c r="M23" s="21">
        <v>29</v>
      </c>
      <c r="N23" s="24">
        <v>6528</v>
      </c>
      <c r="O23" s="23">
        <v>0</v>
      </c>
      <c r="P23" s="24">
        <v>0</v>
      </c>
      <c r="Q23" s="21">
        <v>5</v>
      </c>
      <c r="R23" s="24">
        <v>10460</v>
      </c>
      <c r="S23" s="78">
        <v>9</v>
      </c>
      <c r="T23" s="24">
        <v>4985</v>
      </c>
      <c r="U23" s="21">
        <v>0</v>
      </c>
      <c r="V23" s="24">
        <v>0</v>
      </c>
      <c r="W23" s="23">
        <v>0</v>
      </c>
      <c r="X23" s="24">
        <v>0</v>
      </c>
      <c r="Y23" s="21">
        <v>0</v>
      </c>
      <c r="Z23" s="24">
        <v>0</v>
      </c>
      <c r="AA23" s="23">
        <v>96</v>
      </c>
      <c r="AB23" s="24">
        <v>14518</v>
      </c>
    </row>
    <row r="24" spans="1:28" s="6" customFormat="1" ht="16.5" customHeight="1">
      <c r="A24" s="19"/>
      <c r="B24" s="20" t="s">
        <v>4</v>
      </c>
      <c r="C24" s="23">
        <v>3191</v>
      </c>
      <c r="D24" s="43">
        <v>354263</v>
      </c>
      <c r="E24" s="38">
        <v>2317</v>
      </c>
      <c r="F24" s="22">
        <v>156375</v>
      </c>
      <c r="G24" s="23">
        <v>590</v>
      </c>
      <c r="H24" s="24">
        <v>118673</v>
      </c>
      <c r="I24" s="68">
        <v>0</v>
      </c>
      <c r="J24" s="69">
        <v>0</v>
      </c>
      <c r="K24" s="23">
        <v>5</v>
      </c>
      <c r="L24" s="24">
        <v>1053</v>
      </c>
      <c r="M24" s="21">
        <v>31</v>
      </c>
      <c r="N24" s="24">
        <v>9809</v>
      </c>
      <c r="O24" s="23">
        <v>3</v>
      </c>
      <c r="P24" s="24">
        <v>2656</v>
      </c>
      <c r="Q24" s="21">
        <v>15</v>
      </c>
      <c r="R24" s="24">
        <v>24425</v>
      </c>
      <c r="S24" s="78">
        <v>6</v>
      </c>
      <c r="T24" s="24">
        <v>2748</v>
      </c>
      <c r="U24" s="68">
        <v>0</v>
      </c>
      <c r="V24" s="69">
        <v>0</v>
      </c>
      <c r="W24" s="70">
        <v>0</v>
      </c>
      <c r="X24" s="69">
        <v>0</v>
      </c>
      <c r="Y24" s="68">
        <v>0</v>
      </c>
      <c r="Z24" s="69">
        <v>0</v>
      </c>
      <c r="AA24" s="23">
        <v>224</v>
      </c>
      <c r="AB24" s="24">
        <v>38524</v>
      </c>
    </row>
    <row r="25" spans="1:28" s="6" customFormat="1" ht="16.5" customHeight="1">
      <c r="A25" s="19" t="s">
        <v>88</v>
      </c>
      <c r="B25" s="20" t="s">
        <v>5</v>
      </c>
      <c r="C25" s="23">
        <v>4249</v>
      </c>
      <c r="D25" s="43">
        <v>471054</v>
      </c>
      <c r="E25" s="38">
        <v>3016</v>
      </c>
      <c r="F25" s="22">
        <v>184607</v>
      </c>
      <c r="G25" s="23">
        <v>891</v>
      </c>
      <c r="H25" s="24">
        <v>154132</v>
      </c>
      <c r="I25" s="21">
        <v>0</v>
      </c>
      <c r="J25" s="24">
        <v>0</v>
      </c>
      <c r="K25" s="23">
        <v>7</v>
      </c>
      <c r="L25" s="24">
        <v>1481</v>
      </c>
      <c r="M25" s="21">
        <v>49</v>
      </c>
      <c r="N25" s="24">
        <v>10919</v>
      </c>
      <c r="O25" s="23">
        <v>25</v>
      </c>
      <c r="P25" s="24">
        <v>14604</v>
      </c>
      <c r="Q25" s="21">
        <v>22</v>
      </c>
      <c r="R25" s="24">
        <v>38345</v>
      </c>
      <c r="S25" s="78">
        <v>1</v>
      </c>
      <c r="T25" s="24">
        <v>409</v>
      </c>
      <c r="U25" s="68">
        <v>0</v>
      </c>
      <c r="V25" s="24">
        <v>0</v>
      </c>
      <c r="W25" s="23">
        <v>0</v>
      </c>
      <c r="X25" s="24">
        <v>0</v>
      </c>
      <c r="Y25" s="21">
        <v>0</v>
      </c>
      <c r="Z25" s="24">
        <v>0</v>
      </c>
      <c r="AA25" s="23">
        <v>238</v>
      </c>
      <c r="AB25" s="24">
        <v>66557</v>
      </c>
    </row>
    <row r="26" spans="1:28" s="6" customFormat="1" ht="16.5" customHeight="1">
      <c r="A26" s="19"/>
      <c r="B26" s="20" t="s">
        <v>6</v>
      </c>
      <c r="C26" s="23">
        <v>3399</v>
      </c>
      <c r="D26" s="43">
        <v>210570</v>
      </c>
      <c r="E26" s="38">
        <v>92</v>
      </c>
      <c r="F26" s="22">
        <v>5739</v>
      </c>
      <c r="G26" s="23">
        <v>23</v>
      </c>
      <c r="H26" s="24">
        <v>3877</v>
      </c>
      <c r="I26" s="21">
        <v>0</v>
      </c>
      <c r="J26" s="24">
        <v>0</v>
      </c>
      <c r="K26" s="78">
        <v>0</v>
      </c>
      <c r="L26" s="24">
        <v>76</v>
      </c>
      <c r="M26" s="21">
        <v>60</v>
      </c>
      <c r="N26" s="24">
        <v>7051</v>
      </c>
      <c r="O26" s="23">
        <v>23</v>
      </c>
      <c r="P26" s="24">
        <v>14392</v>
      </c>
      <c r="Q26" s="53">
        <v>3</v>
      </c>
      <c r="R26" s="24">
        <v>5066</v>
      </c>
      <c r="S26" s="95">
        <v>0</v>
      </c>
      <c r="T26" s="24">
        <v>25</v>
      </c>
      <c r="U26" s="21">
        <v>0</v>
      </c>
      <c r="V26" s="24">
        <v>0</v>
      </c>
      <c r="W26" s="23">
        <v>3021</v>
      </c>
      <c r="X26" s="24">
        <v>123975</v>
      </c>
      <c r="Y26" s="21">
        <v>0</v>
      </c>
      <c r="Z26" s="24">
        <v>0</v>
      </c>
      <c r="AA26" s="23">
        <v>177</v>
      </c>
      <c r="AB26" s="24">
        <v>50369</v>
      </c>
    </row>
    <row r="27" spans="1:28" s="6" customFormat="1" ht="16.5" customHeight="1">
      <c r="A27" s="19"/>
      <c r="B27" s="20" t="s">
        <v>7</v>
      </c>
      <c r="C27" s="23">
        <v>14768</v>
      </c>
      <c r="D27" s="43">
        <v>469402</v>
      </c>
      <c r="E27" s="38">
        <v>12</v>
      </c>
      <c r="F27" s="22">
        <v>690</v>
      </c>
      <c r="G27" s="23">
        <v>15</v>
      </c>
      <c r="H27" s="24">
        <v>2580</v>
      </c>
      <c r="I27" s="21">
        <v>4</v>
      </c>
      <c r="J27" s="24">
        <v>1002</v>
      </c>
      <c r="K27" s="78">
        <v>0</v>
      </c>
      <c r="L27" s="24">
        <v>2</v>
      </c>
      <c r="M27" s="21">
        <v>32</v>
      </c>
      <c r="N27" s="24">
        <v>5933</v>
      </c>
      <c r="O27" s="23">
        <v>0</v>
      </c>
      <c r="P27" s="24">
        <v>0</v>
      </c>
      <c r="Q27" s="21">
        <v>3</v>
      </c>
      <c r="R27" s="24">
        <v>8801</v>
      </c>
      <c r="S27" s="21">
        <v>0</v>
      </c>
      <c r="T27" s="24">
        <v>0</v>
      </c>
      <c r="U27" s="80">
        <v>0</v>
      </c>
      <c r="V27" s="24">
        <v>5</v>
      </c>
      <c r="W27" s="21">
        <v>14587</v>
      </c>
      <c r="X27" s="24">
        <v>437127</v>
      </c>
      <c r="Y27" s="21">
        <v>0</v>
      </c>
      <c r="Z27" s="24">
        <v>0</v>
      </c>
      <c r="AA27" s="23">
        <v>115</v>
      </c>
      <c r="AB27" s="24">
        <v>13262</v>
      </c>
    </row>
    <row r="28" spans="1:28" s="6" customFormat="1" ht="16.5" customHeight="1">
      <c r="A28" s="19"/>
      <c r="B28" s="20" t="s">
        <v>8</v>
      </c>
      <c r="C28" s="23">
        <v>8333</v>
      </c>
      <c r="D28" s="43">
        <v>275023</v>
      </c>
      <c r="E28" s="38">
        <v>3</v>
      </c>
      <c r="F28" s="22">
        <v>210</v>
      </c>
      <c r="G28" s="23">
        <v>3</v>
      </c>
      <c r="H28" s="24">
        <v>581</v>
      </c>
      <c r="I28" s="21">
        <v>10</v>
      </c>
      <c r="J28" s="24">
        <v>6596</v>
      </c>
      <c r="K28" s="78">
        <v>0</v>
      </c>
      <c r="L28" s="24">
        <v>3</v>
      </c>
      <c r="M28" s="21">
        <v>2</v>
      </c>
      <c r="N28" s="24">
        <v>779</v>
      </c>
      <c r="O28" s="23">
        <v>0</v>
      </c>
      <c r="P28" s="24">
        <v>0</v>
      </c>
      <c r="Q28" s="21">
        <v>3</v>
      </c>
      <c r="R28" s="24">
        <v>8611</v>
      </c>
      <c r="S28" s="21">
        <v>0</v>
      </c>
      <c r="T28" s="22">
        <v>0</v>
      </c>
      <c r="U28" s="68">
        <v>0</v>
      </c>
      <c r="V28" s="24">
        <v>0</v>
      </c>
      <c r="W28" s="23">
        <v>8250</v>
      </c>
      <c r="X28" s="24">
        <v>250800</v>
      </c>
      <c r="Y28" s="21">
        <v>0</v>
      </c>
      <c r="Z28" s="24">
        <v>0</v>
      </c>
      <c r="AA28" s="23">
        <v>62</v>
      </c>
      <c r="AB28" s="24">
        <v>7443</v>
      </c>
    </row>
    <row r="29" spans="1:28" s="6" customFormat="1" ht="16.5" customHeight="1">
      <c r="A29" s="19"/>
      <c r="B29" s="20" t="s">
        <v>9</v>
      </c>
      <c r="C29" s="23">
        <v>49318</v>
      </c>
      <c r="D29" s="43">
        <v>1891367</v>
      </c>
      <c r="E29" s="38">
        <v>8712</v>
      </c>
      <c r="F29" s="22">
        <v>318910</v>
      </c>
      <c r="G29" s="23">
        <v>824</v>
      </c>
      <c r="H29" s="24">
        <v>154900</v>
      </c>
      <c r="I29" s="21">
        <v>24</v>
      </c>
      <c r="J29" s="24">
        <v>16749</v>
      </c>
      <c r="K29" s="23">
        <v>5</v>
      </c>
      <c r="L29" s="24">
        <v>1161</v>
      </c>
      <c r="M29" s="21">
        <v>42</v>
      </c>
      <c r="N29" s="24">
        <v>8990</v>
      </c>
      <c r="O29" s="78">
        <v>0</v>
      </c>
      <c r="P29" s="24">
        <v>24</v>
      </c>
      <c r="Q29" s="21">
        <v>16</v>
      </c>
      <c r="R29" s="24">
        <v>29080</v>
      </c>
      <c r="S29" s="80">
        <v>0</v>
      </c>
      <c r="T29" s="22">
        <v>87</v>
      </c>
      <c r="U29" s="68">
        <v>2</v>
      </c>
      <c r="V29" s="24">
        <v>239</v>
      </c>
      <c r="W29" s="23">
        <v>38253</v>
      </c>
      <c r="X29" s="24">
        <v>1149302</v>
      </c>
      <c r="Y29" s="80">
        <v>0</v>
      </c>
      <c r="Z29" s="24">
        <v>12</v>
      </c>
      <c r="AA29" s="23">
        <v>1440</v>
      </c>
      <c r="AB29" s="24">
        <v>211913</v>
      </c>
    </row>
    <row r="30" spans="1:28" s="6" customFormat="1" ht="16.5" customHeight="1">
      <c r="A30" s="19"/>
      <c r="B30" s="20" t="s">
        <v>10</v>
      </c>
      <c r="C30" s="23">
        <v>65683</v>
      </c>
      <c r="D30" s="43">
        <v>2326326</v>
      </c>
      <c r="E30" s="38">
        <v>4614</v>
      </c>
      <c r="F30" s="22">
        <v>195716</v>
      </c>
      <c r="G30" s="23">
        <v>591</v>
      </c>
      <c r="H30" s="24">
        <v>153691</v>
      </c>
      <c r="I30" s="21">
        <v>691</v>
      </c>
      <c r="J30" s="24">
        <v>175868</v>
      </c>
      <c r="K30" s="23">
        <v>7</v>
      </c>
      <c r="L30" s="24">
        <v>2722</v>
      </c>
      <c r="M30" s="21">
        <v>37</v>
      </c>
      <c r="N30" s="24">
        <v>7801</v>
      </c>
      <c r="O30" s="78">
        <v>0</v>
      </c>
      <c r="P30" s="24">
        <v>5</v>
      </c>
      <c r="Q30" s="21">
        <v>4</v>
      </c>
      <c r="R30" s="24">
        <v>7998</v>
      </c>
      <c r="S30" s="80">
        <v>0</v>
      </c>
      <c r="T30" s="24">
        <v>10</v>
      </c>
      <c r="U30" s="46">
        <v>421</v>
      </c>
      <c r="V30" s="24">
        <v>55945</v>
      </c>
      <c r="W30" s="23">
        <v>58838</v>
      </c>
      <c r="X30" s="24">
        <v>1678133</v>
      </c>
      <c r="Y30" s="80">
        <v>0</v>
      </c>
      <c r="Z30" s="24">
        <v>6</v>
      </c>
      <c r="AA30" s="23">
        <v>480</v>
      </c>
      <c r="AB30" s="24">
        <v>48431</v>
      </c>
    </row>
    <row r="31" spans="1:28" s="6" customFormat="1" ht="16.5" customHeight="1">
      <c r="A31" s="19"/>
      <c r="B31" s="20" t="s">
        <v>11</v>
      </c>
      <c r="C31" s="23">
        <v>11139</v>
      </c>
      <c r="D31" s="43">
        <v>884503</v>
      </c>
      <c r="E31" s="38">
        <v>3319</v>
      </c>
      <c r="F31" s="22">
        <v>189118</v>
      </c>
      <c r="G31" s="23">
        <v>459</v>
      </c>
      <c r="H31" s="24">
        <v>167730</v>
      </c>
      <c r="I31" s="21">
        <v>550</v>
      </c>
      <c r="J31" s="24">
        <v>98406</v>
      </c>
      <c r="K31" s="23">
        <v>66</v>
      </c>
      <c r="L31" s="24">
        <v>45205</v>
      </c>
      <c r="M31" s="21">
        <v>71</v>
      </c>
      <c r="N31" s="24">
        <v>23637</v>
      </c>
      <c r="O31" s="23">
        <v>0</v>
      </c>
      <c r="P31" s="24">
        <v>0</v>
      </c>
      <c r="Q31" s="21">
        <v>6</v>
      </c>
      <c r="R31" s="24">
        <v>9683</v>
      </c>
      <c r="S31" s="78">
        <v>0</v>
      </c>
      <c r="T31" s="24">
        <v>23</v>
      </c>
      <c r="U31" s="78">
        <v>0</v>
      </c>
      <c r="V31" s="24">
        <v>5</v>
      </c>
      <c r="W31" s="23">
        <v>6287</v>
      </c>
      <c r="X31" s="24">
        <v>213179</v>
      </c>
      <c r="Y31" s="21">
        <v>63</v>
      </c>
      <c r="Z31" s="24">
        <v>92068</v>
      </c>
      <c r="AA31" s="23">
        <v>318</v>
      </c>
      <c r="AB31" s="24">
        <v>45449</v>
      </c>
    </row>
    <row r="32" spans="1:28" s="6" customFormat="1" ht="16.5" customHeight="1">
      <c r="A32" s="25"/>
      <c r="B32" s="26" t="s">
        <v>12</v>
      </c>
      <c r="C32" s="31">
        <v>2759</v>
      </c>
      <c r="D32" s="44">
        <v>346192</v>
      </c>
      <c r="E32" s="39">
        <v>2155</v>
      </c>
      <c r="F32" s="34">
        <v>142493</v>
      </c>
      <c r="G32" s="31">
        <v>427</v>
      </c>
      <c r="H32" s="32">
        <v>68720</v>
      </c>
      <c r="I32" s="33">
        <v>0</v>
      </c>
      <c r="J32" s="32">
        <v>0</v>
      </c>
      <c r="K32" s="31">
        <v>8</v>
      </c>
      <c r="L32" s="32">
        <v>4278</v>
      </c>
      <c r="M32" s="33">
        <v>60</v>
      </c>
      <c r="N32" s="32">
        <v>26610</v>
      </c>
      <c r="O32" s="31">
        <v>0</v>
      </c>
      <c r="P32" s="32">
        <v>0</v>
      </c>
      <c r="Q32" s="33">
        <v>11</v>
      </c>
      <c r="R32" s="32">
        <v>16454</v>
      </c>
      <c r="S32" s="79">
        <v>0</v>
      </c>
      <c r="T32" s="32">
        <v>38</v>
      </c>
      <c r="U32" s="33">
        <v>0</v>
      </c>
      <c r="V32" s="32">
        <v>0</v>
      </c>
      <c r="W32" s="33">
        <v>0</v>
      </c>
      <c r="X32" s="32">
        <v>0</v>
      </c>
      <c r="Y32" s="33">
        <v>0</v>
      </c>
      <c r="Z32" s="32">
        <v>0</v>
      </c>
      <c r="AA32" s="31">
        <v>98</v>
      </c>
      <c r="AB32" s="32">
        <v>87599</v>
      </c>
    </row>
    <row r="33" spans="1:28" s="6" customFormat="1" ht="16.5" customHeight="1">
      <c r="A33" s="19" t="s">
        <v>94</v>
      </c>
      <c r="B33" s="20" t="s">
        <v>1</v>
      </c>
      <c r="C33" s="23">
        <v>4580</v>
      </c>
      <c r="D33" s="43">
        <v>357036</v>
      </c>
      <c r="E33" s="38">
        <v>3752</v>
      </c>
      <c r="F33" s="22">
        <v>218497</v>
      </c>
      <c r="G33" s="23">
        <v>753</v>
      </c>
      <c r="H33" s="24">
        <v>93524</v>
      </c>
      <c r="I33" s="21">
        <v>0</v>
      </c>
      <c r="J33" s="24">
        <v>0</v>
      </c>
      <c r="K33" s="23">
        <v>3</v>
      </c>
      <c r="L33" s="24">
        <v>873</v>
      </c>
      <c r="M33" s="21">
        <v>28</v>
      </c>
      <c r="N33" s="24">
        <v>6955</v>
      </c>
      <c r="O33" s="23">
        <v>0</v>
      </c>
      <c r="P33" s="24">
        <v>0</v>
      </c>
      <c r="Q33" s="46">
        <v>2</v>
      </c>
      <c r="R33" s="24">
        <v>5092</v>
      </c>
      <c r="S33" s="45">
        <v>0</v>
      </c>
      <c r="T33" s="24">
        <v>47</v>
      </c>
      <c r="U33" s="21">
        <v>0</v>
      </c>
      <c r="V33" s="24">
        <v>0</v>
      </c>
      <c r="W33" s="21">
        <v>0</v>
      </c>
      <c r="X33" s="24">
        <v>0</v>
      </c>
      <c r="Y33" s="21">
        <v>0</v>
      </c>
      <c r="Z33" s="24">
        <v>0</v>
      </c>
      <c r="AA33" s="23">
        <v>42</v>
      </c>
      <c r="AB33" s="24">
        <v>32048</v>
      </c>
    </row>
    <row r="34" spans="1:28" s="6" customFormat="1" ht="16.5" customHeight="1">
      <c r="A34" s="19"/>
      <c r="B34" s="20" t="s">
        <v>2</v>
      </c>
      <c r="C34" s="23">
        <v>5513</v>
      </c>
      <c r="D34" s="43">
        <v>353221</v>
      </c>
      <c r="E34" s="38">
        <v>4755</v>
      </c>
      <c r="F34" s="22">
        <v>254711</v>
      </c>
      <c r="G34" s="23">
        <v>672</v>
      </c>
      <c r="H34" s="24">
        <v>85068</v>
      </c>
      <c r="I34" s="21">
        <v>0</v>
      </c>
      <c r="J34" s="24">
        <v>0</v>
      </c>
      <c r="K34" s="23">
        <v>7</v>
      </c>
      <c r="L34" s="24">
        <v>1683</v>
      </c>
      <c r="M34" s="21">
        <v>17</v>
      </c>
      <c r="N34" s="24">
        <v>4244</v>
      </c>
      <c r="O34" s="23">
        <v>0</v>
      </c>
      <c r="P34" s="24">
        <v>0</v>
      </c>
      <c r="Q34" s="46">
        <v>1</v>
      </c>
      <c r="R34" s="24">
        <v>996</v>
      </c>
      <c r="S34" s="45">
        <v>29</v>
      </c>
      <c r="T34" s="24">
        <v>1182</v>
      </c>
      <c r="U34" s="21">
        <v>0</v>
      </c>
      <c r="V34" s="24">
        <v>0</v>
      </c>
      <c r="W34" s="23">
        <v>0</v>
      </c>
      <c r="X34" s="24">
        <v>0</v>
      </c>
      <c r="Y34" s="21">
        <v>0</v>
      </c>
      <c r="Z34" s="24">
        <v>0</v>
      </c>
      <c r="AA34" s="23">
        <v>32</v>
      </c>
      <c r="AB34" s="24">
        <v>5337</v>
      </c>
    </row>
    <row r="35" spans="1:28" s="6" customFormat="1" ht="16.5" customHeight="1">
      <c r="A35" s="19"/>
      <c r="B35" s="20" t="s">
        <v>3</v>
      </c>
      <c r="C35" s="23">
        <v>5730</v>
      </c>
      <c r="D35" s="43">
        <v>389694</v>
      </c>
      <c r="E35" s="38">
        <v>4802</v>
      </c>
      <c r="F35" s="22">
        <v>222328</v>
      </c>
      <c r="G35" s="23">
        <v>788</v>
      </c>
      <c r="H35" s="24">
        <v>136152</v>
      </c>
      <c r="I35" s="21">
        <v>0</v>
      </c>
      <c r="J35" s="24">
        <v>0</v>
      </c>
      <c r="K35" s="23">
        <v>9</v>
      </c>
      <c r="L35" s="24">
        <v>2144</v>
      </c>
      <c r="M35" s="21">
        <v>43</v>
      </c>
      <c r="N35" s="24">
        <v>8880</v>
      </c>
      <c r="O35" s="23">
        <v>0</v>
      </c>
      <c r="P35" s="24">
        <v>0</v>
      </c>
      <c r="Q35" s="21">
        <v>7</v>
      </c>
      <c r="R35" s="24">
        <v>11095</v>
      </c>
      <c r="S35" s="78">
        <v>5</v>
      </c>
      <c r="T35" s="24">
        <v>280</v>
      </c>
      <c r="U35" s="21">
        <v>0</v>
      </c>
      <c r="V35" s="24">
        <v>0</v>
      </c>
      <c r="W35" s="23">
        <v>0</v>
      </c>
      <c r="X35" s="24">
        <v>0</v>
      </c>
      <c r="Y35" s="21">
        <v>0</v>
      </c>
      <c r="Z35" s="24">
        <v>0</v>
      </c>
      <c r="AA35" s="23">
        <v>76</v>
      </c>
      <c r="AB35" s="24">
        <v>8815</v>
      </c>
    </row>
    <row r="36" spans="1:28" s="6" customFormat="1" ht="16.5" customHeight="1">
      <c r="A36" s="19"/>
      <c r="B36" s="20" t="s">
        <v>4</v>
      </c>
      <c r="C36" s="23">
        <v>2191</v>
      </c>
      <c r="D36" s="43">
        <v>220850</v>
      </c>
      <c r="E36" s="38">
        <v>1272</v>
      </c>
      <c r="F36" s="22">
        <v>61743</v>
      </c>
      <c r="G36" s="23">
        <v>767</v>
      </c>
      <c r="H36" s="24">
        <v>116468</v>
      </c>
      <c r="I36" s="68">
        <v>0</v>
      </c>
      <c r="J36" s="69">
        <v>0</v>
      </c>
      <c r="K36" s="23">
        <v>11</v>
      </c>
      <c r="L36" s="24">
        <v>2602</v>
      </c>
      <c r="M36" s="21">
        <v>31</v>
      </c>
      <c r="N36" s="24">
        <v>7356</v>
      </c>
      <c r="O36" s="23">
        <v>1</v>
      </c>
      <c r="P36" s="24">
        <v>1016</v>
      </c>
      <c r="Q36" s="21">
        <v>8</v>
      </c>
      <c r="R36" s="24">
        <v>10613</v>
      </c>
      <c r="S36" s="78">
        <v>1</v>
      </c>
      <c r="T36" s="24">
        <v>65</v>
      </c>
      <c r="U36" s="68">
        <v>0</v>
      </c>
      <c r="V36" s="69">
        <v>0</v>
      </c>
      <c r="W36" s="70">
        <v>0</v>
      </c>
      <c r="X36" s="69">
        <v>0</v>
      </c>
      <c r="Y36" s="68">
        <v>0</v>
      </c>
      <c r="Z36" s="69">
        <v>0</v>
      </c>
      <c r="AA36" s="23">
        <v>100</v>
      </c>
      <c r="AB36" s="24">
        <v>20987</v>
      </c>
    </row>
    <row r="37" spans="1:28" s="6" customFormat="1" ht="16.5" customHeight="1">
      <c r="A37" s="19"/>
      <c r="B37" s="20" t="s">
        <v>5</v>
      </c>
      <c r="C37" s="23">
        <v>4288</v>
      </c>
      <c r="D37" s="43">
        <v>305007</v>
      </c>
      <c r="E37" s="38">
        <v>3123</v>
      </c>
      <c r="F37" s="22">
        <v>113677</v>
      </c>
      <c r="G37" s="23">
        <v>884</v>
      </c>
      <c r="H37" s="24">
        <v>107616</v>
      </c>
      <c r="I37" s="21">
        <v>0</v>
      </c>
      <c r="J37" s="24">
        <v>0</v>
      </c>
      <c r="K37" s="23">
        <v>6</v>
      </c>
      <c r="L37" s="24">
        <v>1358</v>
      </c>
      <c r="M37" s="21">
        <v>35</v>
      </c>
      <c r="N37" s="24">
        <v>7806</v>
      </c>
      <c r="O37" s="23">
        <v>11</v>
      </c>
      <c r="P37" s="24">
        <v>9975</v>
      </c>
      <c r="Q37" s="21">
        <v>7</v>
      </c>
      <c r="R37" s="24">
        <v>10526</v>
      </c>
      <c r="S37" s="78">
        <v>1</v>
      </c>
      <c r="T37" s="24">
        <v>111</v>
      </c>
      <c r="U37" s="68">
        <v>0</v>
      </c>
      <c r="V37" s="24">
        <v>0</v>
      </c>
      <c r="W37" s="23">
        <v>40</v>
      </c>
      <c r="X37" s="24">
        <v>1553</v>
      </c>
      <c r="Y37" s="21">
        <v>0</v>
      </c>
      <c r="Z37" s="24">
        <v>0</v>
      </c>
      <c r="AA37" s="23">
        <v>181</v>
      </c>
      <c r="AB37" s="24">
        <v>52385</v>
      </c>
    </row>
    <row r="38" spans="1:28" s="6" customFormat="1" ht="16.5" customHeight="1">
      <c r="A38" s="19"/>
      <c r="B38" s="20" t="s">
        <v>6</v>
      </c>
      <c r="C38" s="23">
        <v>3494</v>
      </c>
      <c r="D38" s="43">
        <v>148941</v>
      </c>
      <c r="E38" s="38">
        <v>320</v>
      </c>
      <c r="F38" s="22">
        <v>9655</v>
      </c>
      <c r="G38" s="23">
        <v>61</v>
      </c>
      <c r="H38" s="24">
        <v>8320</v>
      </c>
      <c r="I38" s="21">
        <v>0</v>
      </c>
      <c r="J38" s="24">
        <v>0</v>
      </c>
      <c r="K38" s="53">
        <v>0</v>
      </c>
      <c r="L38" s="24">
        <v>96</v>
      </c>
      <c r="M38" s="21">
        <v>37</v>
      </c>
      <c r="N38" s="24">
        <v>6668</v>
      </c>
      <c r="O38" s="23">
        <v>10</v>
      </c>
      <c r="P38" s="24">
        <v>11100</v>
      </c>
      <c r="Q38" s="53">
        <v>3</v>
      </c>
      <c r="R38" s="24">
        <v>5481</v>
      </c>
      <c r="S38" s="95">
        <v>0</v>
      </c>
      <c r="T38" s="24">
        <v>1</v>
      </c>
      <c r="U38" s="50">
        <v>0</v>
      </c>
      <c r="V38" s="24">
        <v>11</v>
      </c>
      <c r="W38" s="23">
        <v>2923</v>
      </c>
      <c r="X38" s="24">
        <v>73325</v>
      </c>
      <c r="Y38" s="21">
        <v>0</v>
      </c>
      <c r="Z38" s="24">
        <v>0</v>
      </c>
      <c r="AA38" s="23">
        <v>140</v>
      </c>
      <c r="AB38" s="24">
        <v>34284</v>
      </c>
    </row>
    <row r="39" spans="1:28" s="6" customFormat="1" ht="16.5" customHeight="1">
      <c r="A39" s="19"/>
      <c r="B39" s="20" t="s">
        <v>7</v>
      </c>
      <c r="C39" s="23">
        <v>37807</v>
      </c>
      <c r="D39" s="43">
        <v>975372</v>
      </c>
      <c r="E39" s="38">
        <v>2</v>
      </c>
      <c r="F39" s="22">
        <v>77</v>
      </c>
      <c r="G39" s="23">
        <v>14</v>
      </c>
      <c r="H39" s="24">
        <v>2085</v>
      </c>
      <c r="I39" s="21">
        <v>1</v>
      </c>
      <c r="J39" s="24">
        <v>4375</v>
      </c>
      <c r="K39" s="45">
        <v>0</v>
      </c>
      <c r="L39" s="24">
        <v>1</v>
      </c>
      <c r="M39" s="21">
        <v>22</v>
      </c>
      <c r="N39" s="24">
        <v>7152</v>
      </c>
      <c r="O39" s="23">
        <v>0</v>
      </c>
      <c r="P39" s="24">
        <v>0</v>
      </c>
      <c r="Q39" s="21">
        <v>5</v>
      </c>
      <c r="R39" s="24">
        <v>9804</v>
      </c>
      <c r="S39" s="95">
        <v>0</v>
      </c>
      <c r="T39" s="24">
        <v>5</v>
      </c>
      <c r="U39" s="68">
        <v>0</v>
      </c>
      <c r="V39" s="24">
        <v>0</v>
      </c>
      <c r="W39" s="21">
        <v>37649</v>
      </c>
      <c r="X39" s="24">
        <v>938556</v>
      </c>
      <c r="Y39" s="21">
        <v>0</v>
      </c>
      <c r="Z39" s="24">
        <v>0</v>
      </c>
      <c r="AA39" s="23">
        <v>114</v>
      </c>
      <c r="AB39" s="24">
        <v>13317</v>
      </c>
    </row>
    <row r="40" spans="1:28" s="6" customFormat="1" ht="16.5" customHeight="1">
      <c r="A40" s="19"/>
      <c r="B40" s="20" t="s">
        <v>8</v>
      </c>
      <c r="C40" s="23">
        <v>15964</v>
      </c>
      <c r="D40" s="43">
        <v>471597</v>
      </c>
      <c r="E40" s="38">
        <v>13</v>
      </c>
      <c r="F40" s="22">
        <v>411</v>
      </c>
      <c r="G40" s="23">
        <v>23</v>
      </c>
      <c r="H40" s="24">
        <v>5583</v>
      </c>
      <c r="I40" s="21">
        <v>0</v>
      </c>
      <c r="J40" s="24">
        <v>0</v>
      </c>
      <c r="K40" s="21">
        <v>0</v>
      </c>
      <c r="L40" s="24">
        <v>0</v>
      </c>
      <c r="M40" s="21">
        <v>3</v>
      </c>
      <c r="N40" s="24">
        <v>894</v>
      </c>
      <c r="O40" s="23">
        <v>0</v>
      </c>
      <c r="P40" s="24">
        <v>0</v>
      </c>
      <c r="Q40" s="21">
        <v>2</v>
      </c>
      <c r="R40" s="24">
        <v>4258</v>
      </c>
      <c r="S40" s="95">
        <v>0</v>
      </c>
      <c r="T40" s="22">
        <v>21</v>
      </c>
      <c r="U40" s="68">
        <v>0</v>
      </c>
      <c r="V40" s="24">
        <v>0</v>
      </c>
      <c r="W40" s="23">
        <v>15859</v>
      </c>
      <c r="X40" s="24">
        <v>454257</v>
      </c>
      <c r="Y40" s="21">
        <v>0</v>
      </c>
      <c r="Z40" s="24">
        <v>0</v>
      </c>
      <c r="AA40" s="23">
        <v>64</v>
      </c>
      <c r="AB40" s="24">
        <v>6173</v>
      </c>
    </row>
    <row r="41" spans="1:28" s="6" customFormat="1" ht="16.5" customHeight="1">
      <c r="A41" s="19"/>
      <c r="B41" s="20" t="s">
        <v>9</v>
      </c>
      <c r="C41" s="23">
        <v>50333</v>
      </c>
      <c r="D41" s="43">
        <v>1863584</v>
      </c>
      <c r="E41" s="38">
        <v>8132</v>
      </c>
      <c r="F41" s="22">
        <v>241474</v>
      </c>
      <c r="G41" s="23">
        <v>592</v>
      </c>
      <c r="H41" s="24">
        <v>156923</v>
      </c>
      <c r="I41" s="21">
        <v>0</v>
      </c>
      <c r="J41" s="24">
        <v>0</v>
      </c>
      <c r="K41" s="23">
        <v>120</v>
      </c>
      <c r="L41" s="24">
        <v>68548</v>
      </c>
      <c r="M41" s="21">
        <v>38</v>
      </c>
      <c r="N41" s="24">
        <v>10612</v>
      </c>
      <c r="O41" s="23">
        <v>0</v>
      </c>
      <c r="P41" s="24">
        <v>0</v>
      </c>
      <c r="Q41" s="21">
        <v>4</v>
      </c>
      <c r="R41" s="24">
        <v>8662</v>
      </c>
      <c r="S41" s="80">
        <v>92</v>
      </c>
      <c r="T41" s="22">
        <v>8904</v>
      </c>
      <c r="U41" s="68">
        <v>0</v>
      </c>
      <c r="V41" s="24">
        <v>0</v>
      </c>
      <c r="W41" s="23">
        <v>41117</v>
      </c>
      <c r="X41" s="24">
        <v>1260287</v>
      </c>
      <c r="Y41" s="80">
        <v>0</v>
      </c>
      <c r="Z41" s="24">
        <v>4</v>
      </c>
      <c r="AA41" s="23">
        <v>238</v>
      </c>
      <c r="AB41" s="24">
        <v>108170</v>
      </c>
    </row>
    <row r="42" spans="1:28" s="6" customFormat="1" ht="16.5" customHeight="1">
      <c r="A42" s="19"/>
      <c r="B42" s="20" t="s">
        <v>10</v>
      </c>
      <c r="C42" s="23">
        <v>52208</v>
      </c>
      <c r="D42" s="43">
        <v>2162496</v>
      </c>
      <c r="E42" s="38">
        <v>6107</v>
      </c>
      <c r="F42" s="22">
        <v>233413</v>
      </c>
      <c r="G42" s="23">
        <v>493</v>
      </c>
      <c r="H42" s="24">
        <v>121875</v>
      </c>
      <c r="I42" s="21">
        <v>144</v>
      </c>
      <c r="J42" s="24">
        <v>57960</v>
      </c>
      <c r="K42" s="23">
        <v>321</v>
      </c>
      <c r="L42" s="24">
        <v>183895</v>
      </c>
      <c r="M42" s="21">
        <v>44</v>
      </c>
      <c r="N42" s="24">
        <v>16996</v>
      </c>
      <c r="O42" s="23">
        <v>0</v>
      </c>
      <c r="P42" s="24">
        <v>0</v>
      </c>
      <c r="Q42" s="21">
        <v>6</v>
      </c>
      <c r="R42" s="24">
        <v>11511</v>
      </c>
      <c r="S42" s="80">
        <v>200</v>
      </c>
      <c r="T42" s="24">
        <v>27891</v>
      </c>
      <c r="U42" s="46">
        <v>226</v>
      </c>
      <c r="V42" s="24">
        <v>39809</v>
      </c>
      <c r="W42" s="23">
        <v>44051</v>
      </c>
      <c r="X42" s="24">
        <v>1417851</v>
      </c>
      <c r="Y42" s="21">
        <v>0</v>
      </c>
      <c r="Z42" s="24">
        <v>0</v>
      </c>
      <c r="AA42" s="23">
        <v>616</v>
      </c>
      <c r="AB42" s="24">
        <v>51295</v>
      </c>
    </row>
    <row r="43" spans="1:28" s="6" customFormat="1" ht="16.5" customHeight="1">
      <c r="A43" s="19"/>
      <c r="B43" s="20" t="s">
        <v>11</v>
      </c>
      <c r="C43" s="23">
        <v>6918</v>
      </c>
      <c r="D43" s="43">
        <v>602497</v>
      </c>
      <c r="E43" s="38">
        <v>5504</v>
      </c>
      <c r="F43" s="22">
        <v>270879</v>
      </c>
      <c r="G43" s="23">
        <v>609</v>
      </c>
      <c r="H43" s="24">
        <v>158343</v>
      </c>
      <c r="I43" s="21">
        <v>7</v>
      </c>
      <c r="J43" s="24">
        <v>2122</v>
      </c>
      <c r="K43" s="23">
        <v>11</v>
      </c>
      <c r="L43" s="24">
        <v>5624</v>
      </c>
      <c r="M43" s="21">
        <v>31</v>
      </c>
      <c r="N43" s="24">
        <v>17256</v>
      </c>
      <c r="O43" s="23">
        <v>0</v>
      </c>
      <c r="P43" s="24">
        <v>0</v>
      </c>
      <c r="Q43" s="21">
        <v>2</v>
      </c>
      <c r="R43" s="24">
        <v>4571</v>
      </c>
      <c r="S43" s="78">
        <v>118</v>
      </c>
      <c r="T43" s="24">
        <v>15623</v>
      </c>
      <c r="U43" s="78">
        <v>0</v>
      </c>
      <c r="V43" s="24">
        <v>6</v>
      </c>
      <c r="W43" s="23">
        <v>343</v>
      </c>
      <c r="X43" s="24">
        <v>22069</v>
      </c>
      <c r="Y43" s="21">
        <v>26</v>
      </c>
      <c r="Z43" s="24">
        <v>76348</v>
      </c>
      <c r="AA43" s="23">
        <v>267</v>
      </c>
      <c r="AB43" s="24">
        <v>29656</v>
      </c>
    </row>
    <row r="44" spans="1:28" s="6" customFormat="1" ht="16.5" customHeight="1">
      <c r="A44" s="25"/>
      <c r="B44" s="26" t="s">
        <v>12</v>
      </c>
      <c r="C44" s="31">
        <v>2611</v>
      </c>
      <c r="D44" s="44">
        <v>376958</v>
      </c>
      <c r="E44" s="39">
        <v>1663</v>
      </c>
      <c r="F44" s="34">
        <v>109959</v>
      </c>
      <c r="G44" s="31">
        <v>643</v>
      </c>
      <c r="H44" s="32">
        <v>123513</v>
      </c>
      <c r="I44" s="33">
        <v>0</v>
      </c>
      <c r="J44" s="32">
        <v>0</v>
      </c>
      <c r="K44" s="31">
        <v>13</v>
      </c>
      <c r="L44" s="32">
        <v>8560</v>
      </c>
      <c r="M44" s="33">
        <v>69</v>
      </c>
      <c r="N44" s="32">
        <v>34150</v>
      </c>
      <c r="O44" s="31">
        <v>0</v>
      </c>
      <c r="P44" s="32">
        <v>0</v>
      </c>
      <c r="Q44" s="33">
        <v>2</v>
      </c>
      <c r="R44" s="32">
        <v>4083</v>
      </c>
      <c r="S44" s="79">
        <v>104</v>
      </c>
      <c r="T44" s="32">
        <v>12453</v>
      </c>
      <c r="U44" s="33">
        <v>4</v>
      </c>
      <c r="V44" s="32">
        <v>939</v>
      </c>
      <c r="W44" s="33">
        <v>0</v>
      </c>
      <c r="X44" s="32">
        <v>0</v>
      </c>
      <c r="Y44" s="33">
        <v>0</v>
      </c>
      <c r="Z44" s="32">
        <v>0</v>
      </c>
      <c r="AA44" s="31">
        <v>113</v>
      </c>
      <c r="AB44" s="32">
        <v>83301</v>
      </c>
    </row>
    <row r="45" spans="1:4" s="74" customFormat="1" ht="16.5" customHeight="1" thickBot="1">
      <c r="A45" s="76" t="s">
        <v>57</v>
      </c>
      <c r="B45" s="77"/>
      <c r="C45" s="77"/>
      <c r="D45" s="77"/>
    </row>
    <row r="46" spans="1:28" s="72" customFormat="1" ht="13.5">
      <c r="A46" s="114" t="str">
        <f>"2020（令和2）年"&amp;COUNTA(E33:E44)&amp;"月迄"</f>
        <v>2020（令和2）年12月迄</v>
      </c>
      <c r="B46" s="115"/>
      <c r="C46" s="71">
        <f>SUM(C33:C44)-2</f>
        <v>191635</v>
      </c>
      <c r="D46" s="71">
        <f>SUM(D33:D44)+0</f>
        <v>8227253</v>
      </c>
      <c r="E46" s="71">
        <f>SUM(E33:E44)+1</f>
        <v>39446</v>
      </c>
      <c r="F46" s="71">
        <f>SUM(F33:F44)-1</f>
        <v>1736823</v>
      </c>
      <c r="G46" s="71">
        <f>SUM(G33:G44)</f>
        <v>6299</v>
      </c>
      <c r="H46" s="71">
        <f>SUM(H33:H44)-1</f>
        <v>1115469</v>
      </c>
      <c r="I46" s="71">
        <f>SUM(I33:I44)-0</f>
        <v>152</v>
      </c>
      <c r="J46" s="71">
        <f>SUM(J33:J44)+1</f>
        <v>64458</v>
      </c>
      <c r="K46" s="71">
        <f>SUM(K33:K44)+1</f>
        <v>502</v>
      </c>
      <c r="L46" s="71">
        <f>SUM(L33:L44)+3</f>
        <v>275387</v>
      </c>
      <c r="M46" s="71">
        <f>SUM(M33:M44)+0</f>
        <v>398</v>
      </c>
      <c r="N46" s="71">
        <f>SUM(N33:N44)+1</f>
        <v>128970</v>
      </c>
      <c r="O46" s="71">
        <f>SUM(O33:O44)</f>
        <v>22</v>
      </c>
      <c r="P46" s="71">
        <f>SUM(P33:P44)</f>
        <v>22091</v>
      </c>
      <c r="Q46" s="71">
        <f>SUM(Q33:Q44)+1</f>
        <v>50</v>
      </c>
      <c r="R46" s="98">
        <f>SUM(R33:R44)-1</f>
        <v>86691</v>
      </c>
      <c r="S46" s="96">
        <f>SUM(S33:S44)+1</f>
        <v>551</v>
      </c>
      <c r="T46" s="98">
        <f>SUM(T33:T44)+1</f>
        <v>66584</v>
      </c>
      <c r="U46" s="99">
        <f>SUM(U33:U44)</f>
        <v>230</v>
      </c>
      <c r="V46" s="71">
        <f>SUM(V33:V44)+0</f>
        <v>40765</v>
      </c>
      <c r="W46" s="71">
        <f>SUM(W33:W44)+1</f>
        <v>141983</v>
      </c>
      <c r="X46" s="71">
        <f>SUM(X33:X44)-1</f>
        <v>4167897</v>
      </c>
      <c r="Y46" s="104">
        <f>SUM(Y33:Y44)</f>
        <v>26</v>
      </c>
      <c r="Z46" s="71">
        <f>SUM(Z33:Z44)</f>
        <v>76352</v>
      </c>
      <c r="AA46" s="71">
        <f>SUM(AA33:AA44)-7</f>
        <v>1976</v>
      </c>
      <c r="AB46" s="88">
        <f>SUM(AB33:AB44)-2</f>
        <v>445766</v>
      </c>
    </row>
    <row r="47" spans="1:28" s="74" customFormat="1" ht="13.5" customHeight="1">
      <c r="A47" s="116" t="str">
        <f>"前年"&amp;COUNTA(E33:E44)&amp;"月迄"</f>
        <v>前年12月迄</v>
      </c>
      <c r="B47" s="117"/>
      <c r="C47" s="73">
        <f ca="1">SUM(C21:(INDIRECT("c"&amp;COUNT($J33:$J44)+20)))</f>
        <v>172268</v>
      </c>
      <c r="D47" s="73">
        <f ca="1">SUM(D21:(INDIRECT("d"&amp;COUNT($J33:$J44)+20)))+1</f>
        <v>8330487</v>
      </c>
      <c r="E47" s="73">
        <f ca="1">SUM(E21:(INDIRECT("e"&amp;COUNT($J33:$J44)+20)))</f>
        <v>30987</v>
      </c>
      <c r="F47" s="73">
        <f ca="1">SUM(F21:(INDIRECT("f"&amp;COUNT($J33:$J44)+20)))-2</f>
        <v>1780141</v>
      </c>
      <c r="G47" s="73">
        <f ca="1">SUM(G21:(INDIRECT("g"&amp;COUNT($J33:$J44)+20)))+1</f>
        <v>6024</v>
      </c>
      <c r="H47" s="73">
        <f ca="1">SUM(H21:(INDIRECT("h"&amp;COUNT($J33:$J44)+20)))-1</f>
        <v>1196731</v>
      </c>
      <c r="I47" s="73">
        <f ca="1">SUM(I21:(INDIRECT("i"&amp;COUNT($J33:$J44)+20)))</f>
        <v>1279</v>
      </c>
      <c r="J47" s="73">
        <f ca="1">SUM(J21:(INDIRECT("j"&amp;COUNT($J33:$J44)+20)))-2</f>
        <v>298619</v>
      </c>
      <c r="K47" s="73">
        <f ca="1">SUM(K21:(INDIRECT("k"&amp;COUNT($J33:$J44)+20)))-0</f>
        <v>112</v>
      </c>
      <c r="L47" s="73">
        <f ca="1">SUM(L21:(INDIRECT("l"&amp;COUNT($J33:$J44)+20)))+1</f>
        <v>58728</v>
      </c>
      <c r="M47" s="73">
        <f ca="1">SUM(M21:(INDIRECT("m"&amp;COUNT($J33:$J44)+20)))</f>
        <v>591</v>
      </c>
      <c r="N47" s="73">
        <f ca="1">SUM(N21:(INDIRECT("n"&amp;COUNT($J33:$J44)+20)))-1</f>
        <v>141378</v>
      </c>
      <c r="O47" s="73">
        <f ca="1">SUM(O21:(INDIRECT("o"&amp;COUNT($J33:$J44)+20)))</f>
        <v>51</v>
      </c>
      <c r="P47" s="73">
        <f ca="1">SUM(P21:(INDIRECT("p"&amp;COUNT($J33:$J44)+20)))-1</f>
        <v>31680</v>
      </c>
      <c r="Q47" s="73">
        <f ca="1">SUM(Q21:(INDIRECT("q"&amp;COUNT($J33:$J44)+20)))</f>
        <v>95</v>
      </c>
      <c r="R47" s="100">
        <f ca="1">SUM(R21:(INDIRECT("r"&amp;COUNT($J33:$J44)+20)))+1</f>
        <v>172561</v>
      </c>
      <c r="S47" s="97">
        <f ca="1">SUM(S21:(INDIRECT("s"&amp;COUNT($J33:$J44)+20)))+1</f>
        <v>35</v>
      </c>
      <c r="T47" s="100">
        <f ca="1">SUM(T21:(INDIRECT("t"&amp;COUNT($J33:$J44)+20)))+1</f>
        <v>16181</v>
      </c>
      <c r="U47" s="97">
        <f ca="1">SUM(U21:(INDIRECT("u"&amp;COUNT($J33:$J44)+20)))</f>
        <v>423</v>
      </c>
      <c r="V47" s="73">
        <f ca="1">SUM(V21:(INDIRECT("v"&amp;COUNT($J33:$J44)+20)))+1</f>
        <v>56195</v>
      </c>
      <c r="W47" s="73">
        <f ca="1">SUM(W21:(INDIRECT("w"&amp;COUNT($J33:$J44)+20)))-1</f>
        <v>129235</v>
      </c>
      <c r="X47" s="73">
        <f ca="1">SUM(X21:(INDIRECT("x"&amp;COUNT($J33:$J44)+20)))-1</f>
        <v>3852515</v>
      </c>
      <c r="Y47" s="105">
        <f ca="1">SUM(Y21:(INDIRECT("y"&amp;COUNT($J33:$J44)+20)))</f>
        <v>63</v>
      </c>
      <c r="Z47" s="73">
        <f ca="1">SUM(Z21:(INDIRECT("z"&amp;COUNT($J33:$J44)+20)))</f>
        <v>92086</v>
      </c>
      <c r="AA47" s="73">
        <f ca="1">SUM(AA21:(INDIRECT("aa"&amp;COUNT($J33:$J44)+20)))-1</f>
        <v>3373</v>
      </c>
      <c r="AB47" s="89">
        <f ca="1">SUM(AB21:(INDIRECT("ab"&amp;COUNT($J33:$J44)+20)))+5</f>
        <v>633672</v>
      </c>
    </row>
    <row r="48" spans="1:28" s="74" customFormat="1" ht="14.25" thickBot="1">
      <c r="A48" s="118" t="s">
        <v>56</v>
      </c>
      <c r="B48" s="119"/>
      <c r="C48" s="75">
        <f>C46-C47</f>
        <v>19367</v>
      </c>
      <c r="D48" s="75">
        <f aca="true" t="shared" si="0" ref="D48:Z48">D46-D47</f>
        <v>-103234</v>
      </c>
      <c r="E48" s="75">
        <f>E46-E47</f>
        <v>8459</v>
      </c>
      <c r="F48" s="75">
        <f t="shared" si="0"/>
        <v>-43318</v>
      </c>
      <c r="G48" s="75">
        <f t="shared" si="0"/>
        <v>275</v>
      </c>
      <c r="H48" s="75">
        <f>H46-H47</f>
        <v>-81262</v>
      </c>
      <c r="I48" s="75">
        <f t="shared" si="0"/>
        <v>-1127</v>
      </c>
      <c r="J48" s="75">
        <f t="shared" si="0"/>
        <v>-234161</v>
      </c>
      <c r="K48" s="75">
        <f t="shared" si="0"/>
        <v>390</v>
      </c>
      <c r="L48" s="75">
        <f t="shared" si="0"/>
        <v>216659</v>
      </c>
      <c r="M48" s="75">
        <f t="shared" si="0"/>
        <v>-193</v>
      </c>
      <c r="N48" s="75">
        <f t="shared" si="0"/>
        <v>-12408</v>
      </c>
      <c r="O48" s="75">
        <f t="shared" si="0"/>
        <v>-29</v>
      </c>
      <c r="P48" s="75">
        <f t="shared" si="0"/>
        <v>-9589</v>
      </c>
      <c r="Q48" s="75">
        <f t="shared" si="0"/>
        <v>-45</v>
      </c>
      <c r="R48" s="101">
        <f t="shared" si="0"/>
        <v>-85870</v>
      </c>
      <c r="S48" s="102">
        <f>S46-S47</f>
        <v>516</v>
      </c>
      <c r="T48" s="101">
        <f t="shared" si="0"/>
        <v>50403</v>
      </c>
      <c r="U48" s="103">
        <f>U46-U47</f>
        <v>-193</v>
      </c>
      <c r="V48" s="75">
        <f t="shared" si="0"/>
        <v>-15430</v>
      </c>
      <c r="W48" s="75">
        <f t="shared" si="0"/>
        <v>12748</v>
      </c>
      <c r="X48" s="75">
        <f t="shared" si="0"/>
        <v>315382</v>
      </c>
      <c r="Y48" s="75">
        <f t="shared" si="0"/>
        <v>-37</v>
      </c>
      <c r="Z48" s="75">
        <f t="shared" si="0"/>
        <v>-15734</v>
      </c>
      <c r="AA48" s="75">
        <f>AA46-AA47</f>
        <v>-1397</v>
      </c>
      <c r="AB48" s="90">
        <f>AB46-AB47</f>
        <v>-187906</v>
      </c>
    </row>
    <row r="49" s="6" customFormat="1" ht="16.5" customHeight="1">
      <c r="A49" s="6" t="s">
        <v>19</v>
      </c>
    </row>
    <row r="50" s="6" customFormat="1" ht="16.5" customHeight="1">
      <c r="A50" s="6" t="s">
        <v>98</v>
      </c>
    </row>
    <row r="51" s="1" customFormat="1" ht="15" customHeight="1">
      <c r="A51" s="6" t="s">
        <v>99</v>
      </c>
    </row>
    <row r="52" spans="3:28" ht="13.5"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</row>
  </sheetData>
  <sheetProtection/>
  <mergeCells count="17">
    <mergeCell ref="W4:X4"/>
    <mergeCell ref="A4:B5"/>
    <mergeCell ref="C4:D4"/>
    <mergeCell ref="E4:F4"/>
    <mergeCell ref="G4:H4"/>
    <mergeCell ref="I4:J4"/>
    <mergeCell ref="K4:L4"/>
    <mergeCell ref="Y4:Z4"/>
    <mergeCell ref="AA4:AB4"/>
    <mergeCell ref="A46:B46"/>
    <mergeCell ref="A47:B47"/>
    <mergeCell ref="A48:B48"/>
    <mergeCell ref="M4:N4"/>
    <mergeCell ref="O4:P4"/>
    <mergeCell ref="Q4:R4"/>
    <mergeCell ref="S4:T4"/>
    <mergeCell ref="U4:V4"/>
  </mergeCells>
  <conditionalFormatting sqref="C46:T48 V46:X48 Z46:AB48">
    <cfRule type="cellIs" priority="1" dxfId="12" operator="equal" stopIfTrue="1">
      <formula>0</formula>
    </cfRule>
  </conditionalFormatting>
  <printOptions/>
  <pageMargins left="0.75" right="0.75" top="1" bottom="1" header="0.512" footer="0.512"/>
  <pageSetup fitToWidth="0" fitToHeight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" sqref="B1:B16384"/>
    </sheetView>
  </sheetViews>
  <sheetFormatPr defaultColWidth="8.796875" defaultRowHeight="14.25"/>
  <cols>
    <col min="1" max="1" width="17.59765625" style="56" customWidth="1"/>
    <col min="2" max="2" width="5.5" style="56" customWidth="1"/>
    <col min="3" max="3" width="11.8984375" style="56" customWidth="1"/>
    <col min="4" max="4" width="13.5" style="56" customWidth="1"/>
    <col min="5" max="5" width="8.59765625" style="56" customWidth="1"/>
    <col min="6" max="6" width="11.8984375" style="56" customWidth="1"/>
    <col min="7" max="7" width="8.59765625" style="56" customWidth="1"/>
    <col min="8" max="8" width="11.8984375" style="56" customWidth="1"/>
    <col min="9" max="9" width="8.59765625" style="56" customWidth="1"/>
    <col min="10" max="10" width="11.8984375" style="56" customWidth="1"/>
    <col min="11" max="11" width="8.59765625" style="56" customWidth="1"/>
    <col min="12" max="12" width="11.8984375" style="56" customWidth="1"/>
    <col min="13" max="13" width="8.59765625" style="56" customWidth="1"/>
    <col min="14" max="14" width="11.8984375" style="56" customWidth="1"/>
    <col min="15" max="15" width="8.59765625" style="56" customWidth="1"/>
    <col min="16" max="16" width="11.8984375" style="56" customWidth="1"/>
    <col min="17" max="17" width="8.59765625" style="56" customWidth="1"/>
    <col min="18" max="18" width="11.8984375" style="56" customWidth="1"/>
    <col min="19" max="19" width="8.59765625" style="56" customWidth="1"/>
    <col min="20" max="20" width="11.8984375" style="56" customWidth="1"/>
    <col min="21" max="21" width="8.59765625" style="56" customWidth="1"/>
    <col min="22" max="22" width="11.8984375" style="56" customWidth="1"/>
    <col min="23" max="23" width="8.59765625" style="56" customWidth="1"/>
    <col min="24" max="24" width="11.8984375" style="56" customWidth="1"/>
    <col min="25" max="25" width="8.59765625" style="56" customWidth="1"/>
    <col min="26" max="26" width="11.8984375" style="56" customWidth="1"/>
    <col min="27" max="27" width="8.59765625" style="56" customWidth="1"/>
    <col min="28" max="28" width="11.8984375" style="56" customWidth="1"/>
    <col min="29" max="16384" width="9" style="56" customWidth="1"/>
  </cols>
  <sheetData>
    <row r="1" spans="1:4" ht="16.5" customHeight="1">
      <c r="A1" s="5" t="s">
        <v>89</v>
      </c>
      <c r="C1" s="5"/>
      <c r="D1" s="5"/>
    </row>
    <row r="2" ht="13.5" customHeight="1"/>
    <row r="3" s="6" customFormat="1" ht="16.5" customHeight="1">
      <c r="A3" s="6" t="s">
        <v>31</v>
      </c>
    </row>
    <row r="4" spans="1:28" s="6" customFormat="1" ht="18.75" customHeight="1">
      <c r="A4" s="120" t="s">
        <v>18</v>
      </c>
      <c r="B4" s="121"/>
      <c r="C4" s="124" t="s">
        <v>0</v>
      </c>
      <c r="D4" s="125"/>
      <c r="E4" s="126" t="s">
        <v>14</v>
      </c>
      <c r="F4" s="113"/>
      <c r="G4" s="112" t="s">
        <v>21</v>
      </c>
      <c r="H4" s="113"/>
      <c r="I4" s="112" t="s">
        <v>22</v>
      </c>
      <c r="J4" s="113"/>
      <c r="K4" s="112" t="s">
        <v>23</v>
      </c>
      <c r="L4" s="113"/>
      <c r="M4" s="112" t="s">
        <v>24</v>
      </c>
      <c r="N4" s="113"/>
      <c r="O4" s="112" t="s">
        <v>15</v>
      </c>
      <c r="P4" s="113"/>
      <c r="Q4" s="112" t="s">
        <v>25</v>
      </c>
      <c r="R4" s="113"/>
      <c r="S4" s="112" t="s">
        <v>26</v>
      </c>
      <c r="T4" s="113"/>
      <c r="U4" s="112" t="s">
        <v>27</v>
      </c>
      <c r="V4" s="113"/>
      <c r="W4" s="112" t="s">
        <v>28</v>
      </c>
      <c r="X4" s="113"/>
      <c r="Y4" s="112" t="s">
        <v>29</v>
      </c>
      <c r="Z4" s="113"/>
      <c r="AA4" s="112" t="s">
        <v>30</v>
      </c>
      <c r="AB4" s="113"/>
    </row>
    <row r="5" spans="1:28" s="6" customFormat="1" ht="18.75" customHeight="1">
      <c r="A5" s="122"/>
      <c r="B5" s="123"/>
      <c r="C5" s="7" t="s">
        <v>16</v>
      </c>
      <c r="D5" s="40" t="s">
        <v>17</v>
      </c>
      <c r="E5" s="35" t="s">
        <v>16</v>
      </c>
      <c r="F5" s="10" t="s">
        <v>17</v>
      </c>
      <c r="G5" s="7" t="s">
        <v>16</v>
      </c>
      <c r="H5" s="8" t="s">
        <v>17</v>
      </c>
      <c r="I5" s="9" t="s">
        <v>16</v>
      </c>
      <c r="J5" s="10" t="s">
        <v>17</v>
      </c>
      <c r="K5" s="7" t="s">
        <v>16</v>
      </c>
      <c r="L5" s="8" t="s">
        <v>17</v>
      </c>
      <c r="M5" s="9" t="s">
        <v>16</v>
      </c>
      <c r="N5" s="10" t="s">
        <v>17</v>
      </c>
      <c r="O5" s="7" t="s">
        <v>16</v>
      </c>
      <c r="P5" s="8" t="s">
        <v>17</v>
      </c>
      <c r="Q5" s="9" t="s">
        <v>16</v>
      </c>
      <c r="R5" s="8" t="s">
        <v>17</v>
      </c>
      <c r="S5" s="7" t="s">
        <v>16</v>
      </c>
      <c r="T5" s="8" t="s">
        <v>17</v>
      </c>
      <c r="U5" s="9" t="s">
        <v>16</v>
      </c>
      <c r="V5" s="10" t="s">
        <v>17</v>
      </c>
      <c r="W5" s="7" t="s">
        <v>16</v>
      </c>
      <c r="X5" s="8" t="s">
        <v>17</v>
      </c>
      <c r="Y5" s="9" t="s">
        <v>16</v>
      </c>
      <c r="Z5" s="8" t="s">
        <v>17</v>
      </c>
      <c r="AA5" s="7" t="s">
        <v>16</v>
      </c>
      <c r="AB5" s="8" t="s">
        <v>17</v>
      </c>
    </row>
    <row r="6" spans="1:28" s="6" customFormat="1" ht="18.75" customHeight="1">
      <c r="A6" s="11" t="s">
        <v>71</v>
      </c>
      <c r="B6" s="85" t="s">
        <v>13</v>
      </c>
      <c r="C6" s="27">
        <v>114577</v>
      </c>
      <c r="D6" s="41">
        <v>11911835</v>
      </c>
      <c r="E6" s="36">
        <v>53813</v>
      </c>
      <c r="F6" s="30">
        <v>3896698</v>
      </c>
      <c r="G6" s="27">
        <v>3869</v>
      </c>
      <c r="H6" s="28">
        <v>966494</v>
      </c>
      <c r="I6" s="29">
        <v>28526</v>
      </c>
      <c r="J6" s="28">
        <v>1985504</v>
      </c>
      <c r="K6" s="27">
        <v>3602</v>
      </c>
      <c r="L6" s="28">
        <v>587516</v>
      </c>
      <c r="M6" s="29">
        <v>1345</v>
      </c>
      <c r="N6" s="28">
        <v>705161</v>
      </c>
      <c r="O6" s="27">
        <v>1579</v>
      </c>
      <c r="P6" s="28">
        <v>856075</v>
      </c>
      <c r="Q6" s="29">
        <v>118</v>
      </c>
      <c r="R6" s="28">
        <v>212500</v>
      </c>
      <c r="S6" s="27">
        <v>741</v>
      </c>
      <c r="T6" s="28">
        <v>140828</v>
      </c>
      <c r="U6" s="29">
        <v>3364</v>
      </c>
      <c r="V6" s="28">
        <v>78773</v>
      </c>
      <c r="W6" s="27">
        <v>2280</v>
      </c>
      <c r="X6" s="28">
        <v>43754</v>
      </c>
      <c r="Y6" s="29">
        <v>251</v>
      </c>
      <c r="Z6" s="28">
        <v>257030</v>
      </c>
      <c r="AA6" s="27">
        <v>15089</v>
      </c>
      <c r="AB6" s="28">
        <v>2181502</v>
      </c>
    </row>
    <row r="7" spans="1:28" s="6" customFormat="1" ht="18.75" customHeight="1">
      <c r="A7" s="19" t="s">
        <v>70</v>
      </c>
      <c r="B7" s="86" t="s">
        <v>13</v>
      </c>
      <c r="C7" s="23">
        <v>137948</v>
      </c>
      <c r="D7" s="43">
        <v>14562957</v>
      </c>
      <c r="E7" s="38">
        <v>55786</v>
      </c>
      <c r="F7" s="22">
        <v>4489157</v>
      </c>
      <c r="G7" s="23">
        <v>3310</v>
      </c>
      <c r="H7" s="24">
        <v>992926</v>
      </c>
      <c r="I7" s="21">
        <v>27899</v>
      </c>
      <c r="J7" s="24">
        <v>2081572</v>
      </c>
      <c r="K7" s="23">
        <v>3869</v>
      </c>
      <c r="L7" s="24">
        <v>893617</v>
      </c>
      <c r="M7" s="21">
        <v>1490</v>
      </c>
      <c r="N7" s="24">
        <v>754333</v>
      </c>
      <c r="O7" s="23">
        <v>1487</v>
      </c>
      <c r="P7" s="24">
        <v>916744</v>
      </c>
      <c r="Q7" s="21">
        <v>108</v>
      </c>
      <c r="R7" s="24">
        <v>195023</v>
      </c>
      <c r="S7" s="23">
        <v>725</v>
      </c>
      <c r="T7" s="24">
        <v>89569</v>
      </c>
      <c r="U7" s="21">
        <v>1891</v>
      </c>
      <c r="V7" s="24">
        <v>144705</v>
      </c>
      <c r="W7" s="23">
        <v>16112</v>
      </c>
      <c r="X7" s="24">
        <v>382795</v>
      </c>
      <c r="Y7" s="46">
        <v>360</v>
      </c>
      <c r="Z7" s="24">
        <v>326991</v>
      </c>
      <c r="AA7" s="23">
        <v>24912</v>
      </c>
      <c r="AB7" s="24">
        <v>3295525</v>
      </c>
    </row>
    <row r="8" spans="1:28" s="6" customFormat="1" ht="18.75" customHeight="1">
      <c r="A8" s="19" t="s">
        <v>69</v>
      </c>
      <c r="B8" s="86" t="s">
        <v>13</v>
      </c>
      <c r="C8" s="23">
        <v>107569</v>
      </c>
      <c r="D8" s="43">
        <v>12723109</v>
      </c>
      <c r="E8" s="38">
        <v>50408</v>
      </c>
      <c r="F8" s="22">
        <v>4285036</v>
      </c>
      <c r="G8" s="23">
        <v>3511</v>
      </c>
      <c r="H8" s="24">
        <v>1040834</v>
      </c>
      <c r="I8" s="21">
        <v>34098</v>
      </c>
      <c r="J8" s="24">
        <v>2522079</v>
      </c>
      <c r="K8" s="23">
        <v>4992</v>
      </c>
      <c r="L8" s="24">
        <v>660467</v>
      </c>
      <c r="M8" s="21">
        <v>1176</v>
      </c>
      <c r="N8" s="24">
        <v>718806</v>
      </c>
      <c r="O8" s="23">
        <v>1422</v>
      </c>
      <c r="P8" s="24">
        <v>853981</v>
      </c>
      <c r="Q8" s="21">
        <v>103</v>
      </c>
      <c r="R8" s="24">
        <v>171971</v>
      </c>
      <c r="S8" s="23">
        <v>482</v>
      </c>
      <c r="T8" s="24">
        <v>114497</v>
      </c>
      <c r="U8" s="21">
        <v>794</v>
      </c>
      <c r="V8" s="24">
        <v>72318</v>
      </c>
      <c r="W8" s="23">
        <v>52</v>
      </c>
      <c r="X8" s="24">
        <v>2180</v>
      </c>
      <c r="Y8" s="46">
        <v>250</v>
      </c>
      <c r="Z8" s="24">
        <v>366073</v>
      </c>
      <c r="AA8" s="23">
        <v>10282</v>
      </c>
      <c r="AB8" s="24">
        <v>1914866</v>
      </c>
    </row>
    <row r="9" spans="1:28" s="6" customFormat="1" ht="18.75" customHeight="1">
      <c r="A9" s="19" t="s">
        <v>68</v>
      </c>
      <c r="B9" s="86" t="s">
        <v>13</v>
      </c>
      <c r="C9" s="23">
        <v>125679</v>
      </c>
      <c r="D9" s="43">
        <v>15281221</v>
      </c>
      <c r="E9" s="38">
        <v>66253</v>
      </c>
      <c r="F9" s="22">
        <v>6179462</v>
      </c>
      <c r="G9" s="23">
        <v>3669</v>
      </c>
      <c r="H9" s="24">
        <v>1200338</v>
      </c>
      <c r="I9" s="21">
        <v>30698</v>
      </c>
      <c r="J9" s="24">
        <v>2575115</v>
      </c>
      <c r="K9" s="23">
        <v>1852</v>
      </c>
      <c r="L9" s="24">
        <v>257255</v>
      </c>
      <c r="M9" s="21">
        <v>972</v>
      </c>
      <c r="N9" s="24">
        <v>586883</v>
      </c>
      <c r="O9" s="23">
        <v>1462</v>
      </c>
      <c r="P9" s="24">
        <v>895714</v>
      </c>
      <c r="Q9" s="21">
        <v>32</v>
      </c>
      <c r="R9" s="24">
        <v>54093</v>
      </c>
      <c r="S9" s="23">
        <v>233</v>
      </c>
      <c r="T9" s="24">
        <v>70889</v>
      </c>
      <c r="U9" s="21">
        <v>19</v>
      </c>
      <c r="V9" s="24">
        <v>2464</v>
      </c>
      <c r="W9" s="23">
        <v>681</v>
      </c>
      <c r="X9" s="24">
        <v>20030</v>
      </c>
      <c r="Y9" s="46">
        <v>102</v>
      </c>
      <c r="Z9" s="24">
        <v>191992</v>
      </c>
      <c r="AA9" s="23">
        <v>19706</v>
      </c>
      <c r="AB9" s="24">
        <v>3246986</v>
      </c>
    </row>
    <row r="10" spans="1:28" s="6" customFormat="1" ht="18.75" customHeight="1">
      <c r="A10" s="19" t="s">
        <v>67</v>
      </c>
      <c r="B10" s="86" t="s">
        <v>13</v>
      </c>
      <c r="C10" s="23">
        <v>128052</v>
      </c>
      <c r="D10" s="43">
        <v>12154590</v>
      </c>
      <c r="E10" s="38">
        <v>55825</v>
      </c>
      <c r="F10" s="22">
        <v>3325149</v>
      </c>
      <c r="G10" s="23">
        <v>3603</v>
      </c>
      <c r="H10" s="24">
        <v>926514</v>
      </c>
      <c r="I10" s="21">
        <v>28797</v>
      </c>
      <c r="J10" s="24">
        <v>2548975</v>
      </c>
      <c r="K10" s="23">
        <v>4772</v>
      </c>
      <c r="L10" s="24">
        <v>619477</v>
      </c>
      <c r="M10" s="21">
        <v>863</v>
      </c>
      <c r="N10" s="24">
        <v>414570</v>
      </c>
      <c r="O10" s="23">
        <v>1019</v>
      </c>
      <c r="P10" s="24">
        <v>615953</v>
      </c>
      <c r="Q10" s="21">
        <v>72</v>
      </c>
      <c r="R10" s="24">
        <v>121419</v>
      </c>
      <c r="S10" s="23">
        <v>958</v>
      </c>
      <c r="T10" s="24">
        <v>176614</v>
      </c>
      <c r="U10" s="21">
        <v>0</v>
      </c>
      <c r="V10" s="24">
        <v>0</v>
      </c>
      <c r="W10" s="23">
        <v>7138</v>
      </c>
      <c r="X10" s="24">
        <v>123775</v>
      </c>
      <c r="Y10" s="46">
        <v>252</v>
      </c>
      <c r="Z10" s="24">
        <v>250170</v>
      </c>
      <c r="AA10" s="23">
        <v>24753</v>
      </c>
      <c r="AB10" s="24">
        <v>3031974</v>
      </c>
    </row>
    <row r="11" spans="1:28" s="6" customFormat="1" ht="18.75" customHeight="1">
      <c r="A11" s="19" t="s">
        <v>66</v>
      </c>
      <c r="B11" s="86" t="s">
        <v>13</v>
      </c>
      <c r="C11" s="23">
        <v>113990</v>
      </c>
      <c r="D11" s="43">
        <v>11357761</v>
      </c>
      <c r="E11" s="38">
        <v>64240</v>
      </c>
      <c r="F11" s="22">
        <v>4297828</v>
      </c>
      <c r="G11" s="23">
        <v>4715</v>
      </c>
      <c r="H11" s="24">
        <v>1228507</v>
      </c>
      <c r="I11" s="21">
        <v>18531</v>
      </c>
      <c r="J11" s="24">
        <v>2052722</v>
      </c>
      <c r="K11" s="23">
        <v>3085</v>
      </c>
      <c r="L11" s="24">
        <v>713613</v>
      </c>
      <c r="M11" s="21">
        <v>866</v>
      </c>
      <c r="N11" s="24">
        <v>331092</v>
      </c>
      <c r="O11" s="23">
        <v>1282</v>
      </c>
      <c r="P11" s="24">
        <v>899729</v>
      </c>
      <c r="Q11" s="21">
        <v>58</v>
      </c>
      <c r="R11" s="24">
        <v>75496</v>
      </c>
      <c r="S11" s="23">
        <v>429</v>
      </c>
      <c r="T11" s="24">
        <v>88209</v>
      </c>
      <c r="U11" s="21">
        <v>250</v>
      </c>
      <c r="V11" s="24">
        <v>9225</v>
      </c>
      <c r="W11" s="23">
        <v>14742</v>
      </c>
      <c r="X11" s="24">
        <v>356297</v>
      </c>
      <c r="Y11" s="46">
        <v>271</v>
      </c>
      <c r="Z11" s="24">
        <v>190923</v>
      </c>
      <c r="AA11" s="23">
        <v>5521</v>
      </c>
      <c r="AB11" s="24">
        <v>1114120</v>
      </c>
    </row>
    <row r="12" spans="1:28" s="6" customFormat="1" ht="18.75" customHeight="1">
      <c r="A12" s="19" t="s">
        <v>65</v>
      </c>
      <c r="B12" s="86" t="s">
        <v>13</v>
      </c>
      <c r="C12" s="23">
        <v>119641</v>
      </c>
      <c r="D12" s="43">
        <v>9969801</v>
      </c>
      <c r="E12" s="38">
        <v>69584</v>
      </c>
      <c r="F12" s="22">
        <v>2931896</v>
      </c>
      <c r="G12" s="23">
        <v>5691</v>
      </c>
      <c r="H12" s="24">
        <v>1426392</v>
      </c>
      <c r="I12" s="21">
        <v>28277</v>
      </c>
      <c r="J12" s="24">
        <v>2446794</v>
      </c>
      <c r="K12" s="23">
        <v>6271</v>
      </c>
      <c r="L12" s="24">
        <v>1119647</v>
      </c>
      <c r="M12" s="21">
        <v>1303</v>
      </c>
      <c r="N12" s="24">
        <v>482612</v>
      </c>
      <c r="O12" s="23">
        <v>853</v>
      </c>
      <c r="P12" s="24">
        <v>549834</v>
      </c>
      <c r="Q12" s="21">
        <v>97</v>
      </c>
      <c r="R12" s="24">
        <v>92703</v>
      </c>
      <c r="S12" s="23">
        <v>248</v>
      </c>
      <c r="T12" s="24">
        <v>65418</v>
      </c>
      <c r="U12" s="21">
        <v>13</v>
      </c>
      <c r="V12" s="24">
        <v>2146</v>
      </c>
      <c r="W12" s="23">
        <v>3727</v>
      </c>
      <c r="X12" s="24">
        <v>76854</v>
      </c>
      <c r="Y12" s="46">
        <v>138</v>
      </c>
      <c r="Z12" s="24">
        <v>137147</v>
      </c>
      <c r="AA12" s="23">
        <v>3439</v>
      </c>
      <c r="AB12" s="24">
        <v>638358</v>
      </c>
    </row>
    <row r="13" spans="1:28" s="6" customFormat="1" ht="18.75" customHeight="1">
      <c r="A13" s="19" t="s">
        <v>64</v>
      </c>
      <c r="B13" s="86" t="s">
        <v>13</v>
      </c>
      <c r="C13" s="23">
        <v>110258</v>
      </c>
      <c r="D13" s="43">
        <v>8839453</v>
      </c>
      <c r="E13" s="64">
        <v>58421</v>
      </c>
      <c r="F13" s="22">
        <v>2986632</v>
      </c>
      <c r="G13" s="23">
        <v>6652</v>
      </c>
      <c r="H13" s="24">
        <v>1281557</v>
      </c>
      <c r="I13" s="65">
        <v>23683</v>
      </c>
      <c r="J13" s="66">
        <v>1484421</v>
      </c>
      <c r="K13" s="23">
        <v>6664</v>
      </c>
      <c r="L13" s="24">
        <v>963214</v>
      </c>
      <c r="M13" s="21">
        <v>1155</v>
      </c>
      <c r="N13" s="24">
        <v>444008</v>
      </c>
      <c r="O13" s="23">
        <v>504</v>
      </c>
      <c r="P13" s="24">
        <v>237111</v>
      </c>
      <c r="Q13" s="21">
        <v>104</v>
      </c>
      <c r="R13" s="24">
        <v>96695</v>
      </c>
      <c r="S13" s="23">
        <v>47</v>
      </c>
      <c r="T13" s="24">
        <v>11308</v>
      </c>
      <c r="U13" s="21">
        <v>2410</v>
      </c>
      <c r="V13" s="24">
        <v>181592</v>
      </c>
      <c r="W13" s="46">
        <v>3162</v>
      </c>
      <c r="X13" s="24">
        <v>77658</v>
      </c>
      <c r="Y13" s="46">
        <v>192</v>
      </c>
      <c r="Z13" s="24">
        <v>321608</v>
      </c>
      <c r="AA13" s="67">
        <v>7264</v>
      </c>
      <c r="AB13" s="66">
        <v>753649</v>
      </c>
    </row>
    <row r="14" spans="1:28" s="48" customFormat="1" ht="18.75" customHeight="1">
      <c r="A14" s="19" t="s">
        <v>63</v>
      </c>
      <c r="B14" s="86" t="s">
        <v>13</v>
      </c>
      <c r="C14" s="23">
        <v>110668</v>
      </c>
      <c r="D14" s="43">
        <v>9021716</v>
      </c>
      <c r="E14" s="64">
        <v>65699</v>
      </c>
      <c r="F14" s="22">
        <v>3137775</v>
      </c>
      <c r="G14" s="23">
        <v>7287</v>
      </c>
      <c r="H14" s="24">
        <v>1124322</v>
      </c>
      <c r="I14" s="65">
        <v>15196</v>
      </c>
      <c r="J14" s="66">
        <v>1527694</v>
      </c>
      <c r="K14" s="23">
        <v>3001</v>
      </c>
      <c r="L14" s="24">
        <v>709906</v>
      </c>
      <c r="M14" s="21">
        <v>986</v>
      </c>
      <c r="N14" s="24">
        <v>319190</v>
      </c>
      <c r="O14" s="23">
        <v>268</v>
      </c>
      <c r="P14" s="24">
        <v>173234</v>
      </c>
      <c r="Q14" s="21">
        <v>181</v>
      </c>
      <c r="R14" s="24">
        <v>178894</v>
      </c>
      <c r="S14" s="23">
        <v>116</v>
      </c>
      <c r="T14" s="24">
        <v>38062</v>
      </c>
      <c r="U14" s="21">
        <v>2695</v>
      </c>
      <c r="V14" s="24">
        <v>400759</v>
      </c>
      <c r="W14" s="21">
        <v>9483</v>
      </c>
      <c r="X14" s="24">
        <v>327673</v>
      </c>
      <c r="Y14" s="21">
        <v>196</v>
      </c>
      <c r="Z14" s="24">
        <v>342030</v>
      </c>
      <c r="AA14" s="67">
        <v>5560</v>
      </c>
      <c r="AB14" s="66">
        <v>742177</v>
      </c>
    </row>
    <row r="15" spans="1:28" s="48" customFormat="1" ht="18.75" customHeight="1">
      <c r="A15" s="19" t="s">
        <v>62</v>
      </c>
      <c r="B15" s="86" t="s">
        <v>13</v>
      </c>
      <c r="C15" s="23">
        <v>130571</v>
      </c>
      <c r="D15" s="43">
        <v>12777794</v>
      </c>
      <c r="E15" s="64">
        <v>56430</v>
      </c>
      <c r="F15" s="22">
        <v>3445393</v>
      </c>
      <c r="G15" s="23">
        <v>5709</v>
      </c>
      <c r="H15" s="24">
        <v>1339390</v>
      </c>
      <c r="I15" s="65">
        <v>23207</v>
      </c>
      <c r="J15" s="66">
        <v>2204697</v>
      </c>
      <c r="K15" s="23">
        <v>8431</v>
      </c>
      <c r="L15" s="24">
        <v>1895592</v>
      </c>
      <c r="M15" s="21">
        <v>610</v>
      </c>
      <c r="N15" s="24">
        <v>220837</v>
      </c>
      <c r="O15" s="23">
        <v>431</v>
      </c>
      <c r="P15" s="24">
        <v>285937</v>
      </c>
      <c r="Q15" s="21">
        <v>166</v>
      </c>
      <c r="R15" s="24">
        <v>212345</v>
      </c>
      <c r="S15" s="23">
        <v>36</v>
      </c>
      <c r="T15" s="24">
        <v>22854</v>
      </c>
      <c r="U15" s="21">
        <v>9317</v>
      </c>
      <c r="V15" s="24">
        <v>791049</v>
      </c>
      <c r="W15" s="21">
        <v>20523</v>
      </c>
      <c r="X15" s="24">
        <v>1040849</v>
      </c>
      <c r="Y15" s="21">
        <v>120</v>
      </c>
      <c r="Z15" s="24">
        <v>176301</v>
      </c>
      <c r="AA15" s="67">
        <v>5591</v>
      </c>
      <c r="AB15" s="66">
        <v>1142550</v>
      </c>
    </row>
    <row r="16" spans="1:28" s="48" customFormat="1" ht="18.75" customHeight="1">
      <c r="A16" s="19" t="s">
        <v>61</v>
      </c>
      <c r="B16" s="86" t="s">
        <v>13</v>
      </c>
      <c r="C16" s="23">
        <v>114977</v>
      </c>
      <c r="D16" s="43">
        <v>12142655</v>
      </c>
      <c r="E16" s="64">
        <v>50726</v>
      </c>
      <c r="F16" s="22">
        <v>3216817</v>
      </c>
      <c r="G16" s="23">
        <v>6020</v>
      </c>
      <c r="H16" s="24">
        <v>1732939</v>
      </c>
      <c r="I16" s="65">
        <v>7166</v>
      </c>
      <c r="J16" s="66">
        <v>1226828</v>
      </c>
      <c r="K16" s="23">
        <v>8254</v>
      </c>
      <c r="L16" s="24">
        <v>2031081</v>
      </c>
      <c r="M16" s="21">
        <v>527</v>
      </c>
      <c r="N16" s="24">
        <v>210163</v>
      </c>
      <c r="O16" s="23">
        <v>151</v>
      </c>
      <c r="P16" s="24">
        <v>89239</v>
      </c>
      <c r="Q16" s="21">
        <v>177</v>
      </c>
      <c r="R16" s="24">
        <v>266286</v>
      </c>
      <c r="S16" s="23">
        <v>3</v>
      </c>
      <c r="T16" s="24">
        <v>1554</v>
      </c>
      <c r="U16" s="21">
        <v>10815</v>
      </c>
      <c r="V16" s="24">
        <v>721345</v>
      </c>
      <c r="W16" s="21">
        <v>28805</v>
      </c>
      <c r="X16" s="24">
        <v>1738868</v>
      </c>
      <c r="Y16" s="21">
        <v>252</v>
      </c>
      <c r="Z16" s="24">
        <v>301961</v>
      </c>
      <c r="AA16" s="67">
        <v>2081</v>
      </c>
      <c r="AB16" s="66">
        <v>605574</v>
      </c>
    </row>
    <row r="17" spans="1:28" s="82" customFormat="1" ht="18" customHeight="1">
      <c r="A17" s="19" t="s">
        <v>60</v>
      </c>
      <c r="B17" s="86" t="s">
        <v>13</v>
      </c>
      <c r="C17" s="23">
        <v>114207</v>
      </c>
      <c r="D17" s="43">
        <v>10099229</v>
      </c>
      <c r="E17" s="64">
        <v>39487</v>
      </c>
      <c r="F17" s="22">
        <v>2296624</v>
      </c>
      <c r="G17" s="23">
        <v>6378</v>
      </c>
      <c r="H17" s="24">
        <v>1563395</v>
      </c>
      <c r="I17" s="65">
        <v>5659</v>
      </c>
      <c r="J17" s="66">
        <v>1004696</v>
      </c>
      <c r="K17" s="23">
        <v>1468</v>
      </c>
      <c r="L17" s="24">
        <v>728045</v>
      </c>
      <c r="M17" s="21">
        <v>526</v>
      </c>
      <c r="N17" s="24">
        <v>230714</v>
      </c>
      <c r="O17" s="23">
        <v>138</v>
      </c>
      <c r="P17" s="24">
        <v>81800</v>
      </c>
      <c r="Q17" s="21">
        <v>117</v>
      </c>
      <c r="R17" s="24">
        <v>193017</v>
      </c>
      <c r="S17" s="23">
        <v>1</v>
      </c>
      <c r="T17" s="24">
        <v>984</v>
      </c>
      <c r="U17" s="21">
        <v>6661</v>
      </c>
      <c r="V17" s="24">
        <v>761320</v>
      </c>
      <c r="W17" s="21">
        <v>49471</v>
      </c>
      <c r="X17" s="24">
        <v>2096873</v>
      </c>
      <c r="Y17" s="21">
        <v>170</v>
      </c>
      <c r="Z17" s="24">
        <v>290996</v>
      </c>
      <c r="AA17" s="67">
        <v>4131</v>
      </c>
      <c r="AB17" s="66">
        <v>850765</v>
      </c>
    </row>
    <row r="18" spans="1:28" s="82" customFormat="1" ht="18" customHeight="1">
      <c r="A18" s="19" t="s">
        <v>59</v>
      </c>
      <c r="B18" s="86" t="s">
        <v>13</v>
      </c>
      <c r="C18" s="23">
        <v>139678</v>
      </c>
      <c r="D18" s="43">
        <v>10203667</v>
      </c>
      <c r="E18" s="38">
        <v>41087</v>
      </c>
      <c r="F18" s="22">
        <v>2165141</v>
      </c>
      <c r="G18" s="23">
        <v>7404</v>
      </c>
      <c r="H18" s="24">
        <v>1918351</v>
      </c>
      <c r="I18" s="65">
        <v>2740</v>
      </c>
      <c r="J18" s="66">
        <v>826415</v>
      </c>
      <c r="K18" s="23">
        <v>45</v>
      </c>
      <c r="L18" s="24">
        <v>13887</v>
      </c>
      <c r="M18" s="21">
        <v>665</v>
      </c>
      <c r="N18" s="24">
        <v>225402</v>
      </c>
      <c r="O18" s="23">
        <v>79</v>
      </c>
      <c r="P18" s="24">
        <v>51109</v>
      </c>
      <c r="Q18" s="21">
        <v>131</v>
      </c>
      <c r="R18" s="24">
        <v>256582</v>
      </c>
      <c r="S18" s="78">
        <v>0</v>
      </c>
      <c r="T18" s="24">
        <v>129</v>
      </c>
      <c r="U18" s="21">
        <v>7653</v>
      </c>
      <c r="V18" s="24">
        <v>659566</v>
      </c>
      <c r="W18" s="21">
        <v>76793</v>
      </c>
      <c r="X18" s="24">
        <v>3170909</v>
      </c>
      <c r="Y18" s="21">
        <v>100</v>
      </c>
      <c r="Z18" s="24">
        <v>204717</v>
      </c>
      <c r="AA18" s="67">
        <v>2981</v>
      </c>
      <c r="AB18" s="66">
        <v>711459</v>
      </c>
    </row>
    <row r="19" spans="1:28" s="82" customFormat="1" ht="18" customHeight="1" thickBot="1">
      <c r="A19" s="13" t="s">
        <v>72</v>
      </c>
      <c r="B19" s="87" t="s">
        <v>13</v>
      </c>
      <c r="C19" s="17">
        <v>121878</v>
      </c>
      <c r="D19" s="42">
        <v>8238832</v>
      </c>
      <c r="E19" s="37">
        <v>31514</v>
      </c>
      <c r="F19" s="16">
        <v>2021680</v>
      </c>
      <c r="G19" s="17">
        <v>5258</v>
      </c>
      <c r="H19" s="18">
        <v>1205230</v>
      </c>
      <c r="I19" s="61">
        <v>5389</v>
      </c>
      <c r="J19" s="62">
        <v>895034</v>
      </c>
      <c r="K19" s="17">
        <v>117</v>
      </c>
      <c r="L19" s="18">
        <v>50272</v>
      </c>
      <c r="M19" s="15">
        <v>698</v>
      </c>
      <c r="N19" s="18">
        <v>206921</v>
      </c>
      <c r="O19" s="17">
        <v>103</v>
      </c>
      <c r="P19" s="18">
        <v>57670</v>
      </c>
      <c r="Q19" s="15">
        <v>92</v>
      </c>
      <c r="R19" s="18">
        <v>167817</v>
      </c>
      <c r="S19" s="91">
        <v>12</v>
      </c>
      <c r="T19" s="18">
        <v>1580</v>
      </c>
      <c r="U19" s="15">
        <v>1360</v>
      </c>
      <c r="V19" s="18">
        <v>209669</v>
      </c>
      <c r="W19" s="15">
        <v>72696</v>
      </c>
      <c r="X19" s="18">
        <v>2474585</v>
      </c>
      <c r="Y19" s="15">
        <v>144</v>
      </c>
      <c r="Z19" s="18">
        <v>154433</v>
      </c>
      <c r="AA19" s="63">
        <v>4495</v>
      </c>
      <c r="AB19" s="62">
        <v>793941</v>
      </c>
    </row>
    <row r="20" spans="1:28" s="6" customFormat="1" ht="16.5" customHeight="1" thickTop="1">
      <c r="A20" s="19" t="s">
        <v>72</v>
      </c>
      <c r="B20" s="20" t="s">
        <v>1</v>
      </c>
      <c r="C20" s="23">
        <v>3710</v>
      </c>
      <c r="D20" s="43">
        <v>491976</v>
      </c>
      <c r="E20" s="38">
        <v>2933</v>
      </c>
      <c r="F20" s="22">
        <v>273573</v>
      </c>
      <c r="G20" s="23">
        <v>662</v>
      </c>
      <c r="H20" s="24">
        <v>151614</v>
      </c>
      <c r="I20" s="21">
        <v>0</v>
      </c>
      <c r="J20" s="24">
        <v>0</v>
      </c>
      <c r="K20" s="23">
        <v>5</v>
      </c>
      <c r="L20" s="24">
        <v>1306</v>
      </c>
      <c r="M20" s="21">
        <v>41</v>
      </c>
      <c r="N20" s="24">
        <v>11559</v>
      </c>
      <c r="O20" s="23">
        <v>0</v>
      </c>
      <c r="P20" s="24">
        <v>0</v>
      </c>
      <c r="Q20" s="46">
        <v>4</v>
      </c>
      <c r="R20" s="24">
        <v>8765</v>
      </c>
      <c r="S20" s="92">
        <v>0</v>
      </c>
      <c r="T20" s="24">
        <v>20</v>
      </c>
      <c r="U20" s="21">
        <v>0</v>
      </c>
      <c r="V20" s="24">
        <v>0</v>
      </c>
      <c r="W20" s="21">
        <v>0</v>
      </c>
      <c r="X20" s="24">
        <v>0</v>
      </c>
      <c r="Y20" s="21">
        <v>0</v>
      </c>
      <c r="Z20" s="24">
        <v>0</v>
      </c>
      <c r="AA20" s="23">
        <v>65</v>
      </c>
      <c r="AB20" s="24">
        <v>45139</v>
      </c>
    </row>
    <row r="21" spans="1:28" s="6" customFormat="1" ht="16.5" customHeight="1">
      <c r="A21" s="19"/>
      <c r="B21" s="20" t="s">
        <v>2</v>
      </c>
      <c r="C21" s="23">
        <v>3452</v>
      </c>
      <c r="D21" s="43">
        <v>421046</v>
      </c>
      <c r="E21" s="38">
        <v>2456</v>
      </c>
      <c r="F21" s="22">
        <v>169809</v>
      </c>
      <c r="G21" s="23">
        <v>767</v>
      </c>
      <c r="H21" s="24">
        <v>181531</v>
      </c>
      <c r="I21" s="21">
        <v>0</v>
      </c>
      <c r="J21" s="24">
        <v>0</v>
      </c>
      <c r="K21" s="23">
        <v>4</v>
      </c>
      <c r="L21" s="24">
        <v>1339</v>
      </c>
      <c r="M21" s="21">
        <v>124</v>
      </c>
      <c r="N21" s="24">
        <v>27169</v>
      </c>
      <c r="O21" s="23">
        <v>0</v>
      </c>
      <c r="P21" s="24">
        <v>0</v>
      </c>
      <c r="Q21" s="46">
        <v>5</v>
      </c>
      <c r="R21" s="24">
        <v>9959</v>
      </c>
      <c r="S21" s="45">
        <v>1</v>
      </c>
      <c r="T21" s="24">
        <v>128</v>
      </c>
      <c r="U21" s="21">
        <v>0</v>
      </c>
      <c r="V21" s="24">
        <v>0</v>
      </c>
      <c r="W21" s="23">
        <v>0</v>
      </c>
      <c r="X21" s="24">
        <v>0</v>
      </c>
      <c r="Y21" s="21">
        <v>0</v>
      </c>
      <c r="Z21" s="24">
        <v>0</v>
      </c>
      <c r="AA21" s="23">
        <v>95</v>
      </c>
      <c r="AB21" s="24">
        <v>31111</v>
      </c>
    </row>
    <row r="22" spans="1:28" s="6" customFormat="1" ht="16.5" customHeight="1">
      <c r="A22" s="19"/>
      <c r="B22" s="20" t="s">
        <v>3</v>
      </c>
      <c r="C22" s="23">
        <v>3637</v>
      </c>
      <c r="D22" s="43">
        <v>367023</v>
      </c>
      <c r="E22" s="38">
        <v>3061</v>
      </c>
      <c r="F22" s="22">
        <v>184703</v>
      </c>
      <c r="G22" s="23">
        <v>424</v>
      </c>
      <c r="H22" s="24">
        <v>126316</v>
      </c>
      <c r="I22" s="21">
        <v>0</v>
      </c>
      <c r="J22" s="24">
        <v>0</v>
      </c>
      <c r="K22" s="23">
        <v>6</v>
      </c>
      <c r="L22" s="24">
        <v>1618</v>
      </c>
      <c r="M22" s="21">
        <v>50</v>
      </c>
      <c r="N22" s="24">
        <v>14737</v>
      </c>
      <c r="O22" s="23">
        <v>0</v>
      </c>
      <c r="P22" s="24">
        <v>0</v>
      </c>
      <c r="Q22" s="21">
        <v>8</v>
      </c>
      <c r="R22" s="24">
        <v>14440</v>
      </c>
      <c r="S22" s="78">
        <v>4</v>
      </c>
      <c r="T22" s="24">
        <v>462</v>
      </c>
      <c r="U22" s="21">
        <v>0</v>
      </c>
      <c r="V22" s="24">
        <v>0</v>
      </c>
      <c r="W22" s="23">
        <v>0</v>
      </c>
      <c r="X22" s="24">
        <v>0</v>
      </c>
      <c r="Y22" s="21">
        <v>0</v>
      </c>
      <c r="Z22" s="24">
        <v>0</v>
      </c>
      <c r="AA22" s="23">
        <v>84</v>
      </c>
      <c r="AB22" s="24">
        <v>24747</v>
      </c>
    </row>
    <row r="23" spans="1:28" s="6" customFormat="1" ht="16.5" customHeight="1">
      <c r="A23" s="19"/>
      <c r="B23" s="20" t="s">
        <v>4</v>
      </c>
      <c r="C23" s="23">
        <v>1874</v>
      </c>
      <c r="D23" s="43">
        <v>311830</v>
      </c>
      <c r="E23" s="38">
        <v>1048</v>
      </c>
      <c r="F23" s="22">
        <v>76568</v>
      </c>
      <c r="G23" s="23">
        <v>450</v>
      </c>
      <c r="H23" s="24">
        <v>92806</v>
      </c>
      <c r="I23" s="68">
        <v>0</v>
      </c>
      <c r="J23" s="69">
        <v>0</v>
      </c>
      <c r="K23" s="23">
        <v>6</v>
      </c>
      <c r="L23" s="24">
        <v>1269</v>
      </c>
      <c r="M23" s="21">
        <v>73</v>
      </c>
      <c r="N23" s="24">
        <v>20525</v>
      </c>
      <c r="O23" s="23">
        <v>1</v>
      </c>
      <c r="P23" s="24">
        <v>1648</v>
      </c>
      <c r="Q23" s="21">
        <v>18</v>
      </c>
      <c r="R23" s="24">
        <v>31314</v>
      </c>
      <c r="S23" s="78">
        <v>4</v>
      </c>
      <c r="T23" s="24">
        <v>303</v>
      </c>
      <c r="U23" s="68">
        <v>0</v>
      </c>
      <c r="V23" s="69">
        <v>0</v>
      </c>
      <c r="W23" s="70">
        <v>0</v>
      </c>
      <c r="X23" s="69">
        <v>0</v>
      </c>
      <c r="Y23" s="68">
        <v>0</v>
      </c>
      <c r="Z23" s="69">
        <v>0</v>
      </c>
      <c r="AA23" s="23">
        <v>274</v>
      </c>
      <c r="AB23" s="24">
        <v>87397</v>
      </c>
    </row>
    <row r="24" spans="1:28" s="6" customFormat="1" ht="16.5" customHeight="1">
      <c r="A24" s="19"/>
      <c r="B24" s="20" t="s">
        <v>5</v>
      </c>
      <c r="C24" s="23">
        <v>5110</v>
      </c>
      <c r="D24" s="43">
        <v>530346</v>
      </c>
      <c r="E24" s="38">
        <v>3853</v>
      </c>
      <c r="F24" s="22">
        <v>220312</v>
      </c>
      <c r="G24" s="23">
        <v>707</v>
      </c>
      <c r="H24" s="24">
        <v>125289</v>
      </c>
      <c r="I24" s="21">
        <v>0</v>
      </c>
      <c r="J24" s="24">
        <v>0</v>
      </c>
      <c r="K24" s="23">
        <v>10</v>
      </c>
      <c r="L24" s="24">
        <v>1931</v>
      </c>
      <c r="M24" s="21">
        <v>93</v>
      </c>
      <c r="N24" s="24">
        <v>20405</v>
      </c>
      <c r="O24" s="23">
        <v>38</v>
      </c>
      <c r="P24" s="24">
        <v>25563</v>
      </c>
      <c r="Q24" s="21">
        <v>14</v>
      </c>
      <c r="R24" s="24">
        <v>22107</v>
      </c>
      <c r="S24" s="78">
        <v>2</v>
      </c>
      <c r="T24" s="24">
        <v>128</v>
      </c>
      <c r="U24" s="68">
        <v>0</v>
      </c>
      <c r="V24" s="24">
        <v>0</v>
      </c>
      <c r="W24" s="23">
        <v>21</v>
      </c>
      <c r="X24" s="24">
        <v>1396</v>
      </c>
      <c r="Y24" s="21">
        <v>0</v>
      </c>
      <c r="Z24" s="24">
        <v>0</v>
      </c>
      <c r="AA24" s="23">
        <v>372</v>
      </c>
      <c r="AB24" s="24">
        <v>113215</v>
      </c>
    </row>
    <row r="25" spans="1:28" s="6" customFormat="1" ht="16.5" customHeight="1">
      <c r="A25" s="19"/>
      <c r="B25" s="20" t="s">
        <v>6</v>
      </c>
      <c r="C25" s="23">
        <v>1296</v>
      </c>
      <c r="D25" s="43">
        <v>154842</v>
      </c>
      <c r="E25" s="38">
        <v>178</v>
      </c>
      <c r="F25" s="22">
        <v>10765</v>
      </c>
      <c r="G25" s="23">
        <v>37</v>
      </c>
      <c r="H25" s="24">
        <v>7092</v>
      </c>
      <c r="I25" s="21">
        <v>0</v>
      </c>
      <c r="J25" s="24">
        <v>0</v>
      </c>
      <c r="K25" s="53">
        <v>0</v>
      </c>
      <c r="L25" s="24">
        <v>10</v>
      </c>
      <c r="M25" s="21">
        <v>63</v>
      </c>
      <c r="N25" s="24">
        <v>7330</v>
      </c>
      <c r="O25" s="23">
        <v>44</v>
      </c>
      <c r="P25" s="24">
        <v>18438</v>
      </c>
      <c r="Q25" s="53">
        <v>3</v>
      </c>
      <c r="R25" s="24">
        <v>3849</v>
      </c>
      <c r="S25" s="68">
        <v>0</v>
      </c>
      <c r="T25" s="24">
        <v>0</v>
      </c>
      <c r="U25" s="21">
        <v>5</v>
      </c>
      <c r="V25" s="24">
        <v>204</v>
      </c>
      <c r="W25" s="23">
        <v>650</v>
      </c>
      <c r="X25" s="24">
        <v>32120</v>
      </c>
      <c r="Y25" s="21">
        <v>0</v>
      </c>
      <c r="Z25" s="24">
        <v>0</v>
      </c>
      <c r="AA25" s="23">
        <v>316</v>
      </c>
      <c r="AB25" s="24">
        <v>75034</v>
      </c>
    </row>
    <row r="26" spans="1:28" s="6" customFormat="1" ht="16.5" customHeight="1">
      <c r="A26" s="19"/>
      <c r="B26" s="20" t="s">
        <v>7</v>
      </c>
      <c r="C26" s="23">
        <v>3602</v>
      </c>
      <c r="D26" s="43">
        <v>159325</v>
      </c>
      <c r="E26" s="38">
        <v>13</v>
      </c>
      <c r="F26" s="22">
        <v>595</v>
      </c>
      <c r="G26" s="23">
        <v>16</v>
      </c>
      <c r="H26" s="24">
        <v>2161</v>
      </c>
      <c r="I26" s="21">
        <v>2</v>
      </c>
      <c r="J26" s="24">
        <v>6151</v>
      </c>
      <c r="K26" s="45">
        <v>0</v>
      </c>
      <c r="L26" s="24">
        <v>1</v>
      </c>
      <c r="M26" s="21">
        <v>22</v>
      </c>
      <c r="N26" s="24">
        <v>5441</v>
      </c>
      <c r="O26" s="45">
        <v>0</v>
      </c>
      <c r="P26" s="24">
        <v>101</v>
      </c>
      <c r="Q26" s="21">
        <v>10</v>
      </c>
      <c r="R26" s="24">
        <v>17503</v>
      </c>
      <c r="S26" s="80">
        <v>0</v>
      </c>
      <c r="T26" s="24">
        <v>4</v>
      </c>
      <c r="U26" s="80">
        <v>0</v>
      </c>
      <c r="V26" s="24">
        <v>2</v>
      </c>
      <c r="W26" s="21">
        <v>3345</v>
      </c>
      <c r="X26" s="24">
        <v>110264</v>
      </c>
      <c r="Y26" s="21">
        <v>0</v>
      </c>
      <c r="Z26" s="24">
        <v>0</v>
      </c>
      <c r="AA26" s="23">
        <v>194</v>
      </c>
      <c r="AB26" s="24">
        <v>17102</v>
      </c>
    </row>
    <row r="27" spans="1:28" s="6" customFormat="1" ht="16.5" customHeight="1">
      <c r="A27" s="19"/>
      <c r="B27" s="20" t="s">
        <v>8</v>
      </c>
      <c r="C27" s="23">
        <v>8720</v>
      </c>
      <c r="D27" s="43">
        <v>348629</v>
      </c>
      <c r="E27" s="38">
        <v>4</v>
      </c>
      <c r="F27" s="22">
        <v>183</v>
      </c>
      <c r="G27" s="23">
        <v>7</v>
      </c>
      <c r="H27" s="24">
        <v>908</v>
      </c>
      <c r="I27" s="21">
        <v>535</v>
      </c>
      <c r="J27" s="24">
        <v>110425</v>
      </c>
      <c r="K27" s="45">
        <v>0</v>
      </c>
      <c r="L27" s="24">
        <v>1</v>
      </c>
      <c r="M27" s="21">
        <v>3</v>
      </c>
      <c r="N27" s="24">
        <v>894</v>
      </c>
      <c r="O27" s="45">
        <v>0</v>
      </c>
      <c r="P27" s="24">
        <v>62</v>
      </c>
      <c r="Q27" s="21">
        <v>6</v>
      </c>
      <c r="R27" s="24">
        <v>12471</v>
      </c>
      <c r="S27" s="80">
        <v>0</v>
      </c>
      <c r="T27" s="22">
        <v>1</v>
      </c>
      <c r="U27" s="68">
        <v>0</v>
      </c>
      <c r="V27" s="24">
        <v>0</v>
      </c>
      <c r="W27" s="23">
        <v>8063</v>
      </c>
      <c r="X27" s="24">
        <v>215138</v>
      </c>
      <c r="Y27" s="21">
        <v>0</v>
      </c>
      <c r="Z27" s="24">
        <v>0</v>
      </c>
      <c r="AA27" s="23">
        <v>102</v>
      </c>
      <c r="AB27" s="24">
        <v>8546</v>
      </c>
    </row>
    <row r="28" spans="1:28" s="6" customFormat="1" ht="16.5" customHeight="1">
      <c r="A28" s="19"/>
      <c r="B28" s="20" t="s">
        <v>9</v>
      </c>
      <c r="C28" s="23">
        <v>44418</v>
      </c>
      <c r="D28" s="43">
        <v>2096959</v>
      </c>
      <c r="E28" s="38">
        <v>7692</v>
      </c>
      <c r="F28" s="22">
        <v>310610</v>
      </c>
      <c r="G28" s="23">
        <v>657</v>
      </c>
      <c r="H28" s="24">
        <v>128799</v>
      </c>
      <c r="I28" s="21">
        <v>1799</v>
      </c>
      <c r="J28" s="24">
        <v>375377</v>
      </c>
      <c r="K28" s="23">
        <v>59</v>
      </c>
      <c r="L28" s="24">
        <v>32461</v>
      </c>
      <c r="M28" s="21">
        <v>58</v>
      </c>
      <c r="N28" s="24">
        <v>13103</v>
      </c>
      <c r="O28" s="23">
        <v>13</v>
      </c>
      <c r="P28" s="24">
        <v>7698</v>
      </c>
      <c r="Q28" s="21">
        <v>12</v>
      </c>
      <c r="R28" s="24">
        <v>21717</v>
      </c>
      <c r="S28" s="80">
        <v>0</v>
      </c>
      <c r="T28" s="22">
        <v>31</v>
      </c>
      <c r="U28" s="68">
        <v>0</v>
      </c>
      <c r="V28" s="24">
        <v>0</v>
      </c>
      <c r="W28" s="23">
        <v>33132</v>
      </c>
      <c r="X28" s="24">
        <v>1066542</v>
      </c>
      <c r="Y28" s="21">
        <v>0</v>
      </c>
      <c r="Z28" s="24">
        <v>0</v>
      </c>
      <c r="AA28" s="23">
        <v>996</v>
      </c>
      <c r="AB28" s="24">
        <v>140621</v>
      </c>
    </row>
    <row r="29" spans="1:28" s="6" customFormat="1" ht="16.5" customHeight="1">
      <c r="A29" s="19"/>
      <c r="B29" s="20" t="s">
        <v>10</v>
      </c>
      <c r="C29" s="23">
        <v>38644</v>
      </c>
      <c r="D29" s="43">
        <v>2175564</v>
      </c>
      <c r="E29" s="38">
        <v>5900</v>
      </c>
      <c r="F29" s="22">
        <v>321230</v>
      </c>
      <c r="G29" s="23">
        <v>481</v>
      </c>
      <c r="H29" s="24">
        <v>106121</v>
      </c>
      <c r="I29" s="21">
        <v>2850</v>
      </c>
      <c r="J29" s="24">
        <v>379569</v>
      </c>
      <c r="K29" s="23">
        <v>13</v>
      </c>
      <c r="L29" s="24">
        <v>5716</v>
      </c>
      <c r="M29" s="21">
        <v>53</v>
      </c>
      <c r="N29" s="24">
        <v>13732</v>
      </c>
      <c r="O29" s="23">
        <v>6</v>
      </c>
      <c r="P29" s="24">
        <v>4126</v>
      </c>
      <c r="Q29" s="21">
        <v>7</v>
      </c>
      <c r="R29" s="24">
        <v>11632</v>
      </c>
      <c r="S29" s="80">
        <v>0</v>
      </c>
      <c r="T29" s="24">
        <v>106</v>
      </c>
      <c r="U29" s="46">
        <v>1355</v>
      </c>
      <c r="V29" s="24">
        <v>209459</v>
      </c>
      <c r="W29" s="23">
        <v>27173</v>
      </c>
      <c r="X29" s="24">
        <v>1017885</v>
      </c>
      <c r="Y29" s="21">
        <v>0</v>
      </c>
      <c r="Z29" s="24">
        <v>0</v>
      </c>
      <c r="AA29" s="23">
        <v>806</v>
      </c>
      <c r="AB29" s="24">
        <v>105988</v>
      </c>
    </row>
    <row r="30" spans="1:28" s="6" customFormat="1" ht="16.5" customHeight="1">
      <c r="A30" s="19"/>
      <c r="B30" s="20" t="s">
        <v>11</v>
      </c>
      <c r="C30" s="23">
        <v>4858</v>
      </c>
      <c r="D30" s="43">
        <v>678003</v>
      </c>
      <c r="E30" s="38">
        <v>2655</v>
      </c>
      <c r="F30" s="22">
        <v>232012</v>
      </c>
      <c r="G30" s="23">
        <v>640</v>
      </c>
      <c r="H30" s="24">
        <v>152506</v>
      </c>
      <c r="I30" s="21">
        <v>205</v>
      </c>
      <c r="J30" s="24">
        <v>23511</v>
      </c>
      <c r="K30" s="23">
        <v>9</v>
      </c>
      <c r="L30" s="24">
        <v>3512</v>
      </c>
      <c r="M30" s="21">
        <v>62</v>
      </c>
      <c r="N30" s="24">
        <v>31031</v>
      </c>
      <c r="O30" s="78">
        <v>0</v>
      </c>
      <c r="P30" s="24">
        <v>35</v>
      </c>
      <c r="Q30" s="21">
        <v>3</v>
      </c>
      <c r="R30" s="24">
        <v>6514</v>
      </c>
      <c r="S30" s="78">
        <v>1</v>
      </c>
      <c r="T30" s="24">
        <v>309</v>
      </c>
      <c r="U30" s="78">
        <v>0</v>
      </c>
      <c r="V30" s="24">
        <v>4</v>
      </c>
      <c r="W30" s="23">
        <v>312</v>
      </c>
      <c r="X30" s="24">
        <v>31240</v>
      </c>
      <c r="Y30" s="21">
        <v>88</v>
      </c>
      <c r="Z30" s="24">
        <v>116298</v>
      </c>
      <c r="AA30" s="23">
        <v>883</v>
      </c>
      <c r="AB30" s="24">
        <v>81031</v>
      </c>
    </row>
    <row r="31" spans="1:28" s="6" customFormat="1" ht="16.5" customHeight="1">
      <c r="A31" s="25"/>
      <c r="B31" s="26" t="s">
        <v>12</v>
      </c>
      <c r="C31" s="31">
        <v>2557</v>
      </c>
      <c r="D31" s="44">
        <v>503288</v>
      </c>
      <c r="E31" s="39">
        <v>1721</v>
      </c>
      <c r="F31" s="34">
        <v>221320</v>
      </c>
      <c r="G31" s="31">
        <v>410</v>
      </c>
      <c r="H31" s="32">
        <v>130088</v>
      </c>
      <c r="I31" s="33">
        <v>0</v>
      </c>
      <c r="J31" s="32">
        <v>0</v>
      </c>
      <c r="K31" s="31">
        <v>5</v>
      </c>
      <c r="L31" s="32">
        <v>1109</v>
      </c>
      <c r="M31" s="33">
        <v>57</v>
      </c>
      <c r="N31" s="32">
        <v>40995</v>
      </c>
      <c r="O31" s="31">
        <v>0</v>
      </c>
      <c r="P31" s="32">
        <v>0</v>
      </c>
      <c r="Q31" s="33">
        <v>2</v>
      </c>
      <c r="R31" s="32">
        <v>7547</v>
      </c>
      <c r="S31" s="79">
        <v>0</v>
      </c>
      <c r="T31" s="32">
        <v>87</v>
      </c>
      <c r="U31" s="33">
        <v>0</v>
      </c>
      <c r="V31" s="32">
        <v>0</v>
      </c>
      <c r="W31" s="33">
        <v>0</v>
      </c>
      <c r="X31" s="32">
        <v>0</v>
      </c>
      <c r="Y31" s="33">
        <v>56</v>
      </c>
      <c r="Z31" s="32">
        <v>38134</v>
      </c>
      <c r="AA31" s="31">
        <v>306</v>
      </c>
      <c r="AB31" s="32">
        <v>64008</v>
      </c>
    </row>
    <row r="32" spans="1:28" s="6" customFormat="1" ht="16.5" customHeight="1">
      <c r="A32" s="19" t="s">
        <v>87</v>
      </c>
      <c r="B32" s="20" t="s">
        <v>1</v>
      </c>
      <c r="C32" s="23">
        <v>2720</v>
      </c>
      <c r="D32" s="43">
        <v>390003</v>
      </c>
      <c r="E32" s="38">
        <v>1653</v>
      </c>
      <c r="F32" s="22">
        <v>179787</v>
      </c>
      <c r="G32" s="23">
        <v>922</v>
      </c>
      <c r="H32" s="24">
        <v>156859</v>
      </c>
      <c r="I32" s="21">
        <v>0</v>
      </c>
      <c r="J32" s="24">
        <v>0</v>
      </c>
      <c r="K32" s="23">
        <v>4</v>
      </c>
      <c r="L32" s="24">
        <v>750</v>
      </c>
      <c r="M32" s="21">
        <v>73</v>
      </c>
      <c r="N32" s="24">
        <v>14907</v>
      </c>
      <c r="O32" s="23">
        <v>0</v>
      </c>
      <c r="P32" s="24">
        <v>0</v>
      </c>
      <c r="Q32" s="46">
        <v>3</v>
      </c>
      <c r="R32" s="24">
        <v>4963</v>
      </c>
      <c r="S32" s="45">
        <v>6</v>
      </c>
      <c r="T32" s="24">
        <v>2822</v>
      </c>
      <c r="U32" s="21">
        <v>0</v>
      </c>
      <c r="V32" s="24">
        <v>0</v>
      </c>
      <c r="W32" s="21">
        <v>0</v>
      </c>
      <c r="X32" s="24">
        <v>0</v>
      </c>
      <c r="Y32" s="21">
        <v>0</v>
      </c>
      <c r="Z32" s="24">
        <v>0</v>
      </c>
      <c r="AA32" s="23">
        <v>59</v>
      </c>
      <c r="AB32" s="24">
        <v>29915</v>
      </c>
    </row>
    <row r="33" spans="1:28" s="6" customFormat="1" ht="16.5" customHeight="1">
      <c r="A33" s="19"/>
      <c r="B33" s="20" t="s">
        <v>2</v>
      </c>
      <c r="C33" s="23">
        <v>3191</v>
      </c>
      <c r="D33" s="43">
        <v>371501</v>
      </c>
      <c r="E33" s="38">
        <v>2240</v>
      </c>
      <c r="F33" s="22">
        <v>199712</v>
      </c>
      <c r="G33" s="23">
        <v>758</v>
      </c>
      <c r="H33" s="24">
        <v>119046</v>
      </c>
      <c r="I33" s="21">
        <v>0</v>
      </c>
      <c r="J33" s="24">
        <v>0</v>
      </c>
      <c r="K33" s="23">
        <v>5</v>
      </c>
      <c r="L33" s="24">
        <v>934</v>
      </c>
      <c r="M33" s="21">
        <v>105</v>
      </c>
      <c r="N33" s="24">
        <v>18415</v>
      </c>
      <c r="O33" s="23">
        <v>0</v>
      </c>
      <c r="P33" s="24">
        <v>0</v>
      </c>
      <c r="Q33" s="46">
        <v>4</v>
      </c>
      <c r="R33" s="24">
        <v>8674</v>
      </c>
      <c r="S33" s="45">
        <v>12</v>
      </c>
      <c r="T33" s="24">
        <v>5033</v>
      </c>
      <c r="U33" s="21">
        <v>0</v>
      </c>
      <c r="V33" s="24">
        <v>0</v>
      </c>
      <c r="W33" s="23">
        <v>0</v>
      </c>
      <c r="X33" s="24">
        <v>0</v>
      </c>
      <c r="Y33" s="21">
        <v>0</v>
      </c>
      <c r="Z33" s="24">
        <v>0</v>
      </c>
      <c r="AA33" s="23">
        <v>67</v>
      </c>
      <c r="AB33" s="24">
        <v>19687</v>
      </c>
    </row>
    <row r="34" spans="1:28" s="6" customFormat="1" ht="16.5" customHeight="1">
      <c r="A34" s="19"/>
      <c r="B34" s="20" t="s">
        <v>3</v>
      </c>
      <c r="C34" s="23">
        <v>3518</v>
      </c>
      <c r="D34" s="43">
        <v>340282</v>
      </c>
      <c r="E34" s="38">
        <v>2854</v>
      </c>
      <c r="F34" s="22">
        <v>206786</v>
      </c>
      <c r="G34" s="23">
        <v>520</v>
      </c>
      <c r="H34" s="24">
        <v>95943</v>
      </c>
      <c r="I34" s="21">
        <v>0</v>
      </c>
      <c r="J34" s="24">
        <v>0</v>
      </c>
      <c r="K34" s="23">
        <v>5</v>
      </c>
      <c r="L34" s="24">
        <v>1062</v>
      </c>
      <c r="M34" s="21">
        <v>29</v>
      </c>
      <c r="N34" s="24">
        <v>6528</v>
      </c>
      <c r="O34" s="23">
        <v>0</v>
      </c>
      <c r="P34" s="24">
        <v>0</v>
      </c>
      <c r="Q34" s="21">
        <v>5</v>
      </c>
      <c r="R34" s="24">
        <v>10460</v>
      </c>
      <c r="S34" s="78">
        <v>9</v>
      </c>
      <c r="T34" s="24">
        <v>4985</v>
      </c>
      <c r="U34" s="21">
        <v>0</v>
      </c>
      <c r="V34" s="24">
        <v>0</v>
      </c>
      <c r="W34" s="23">
        <v>0</v>
      </c>
      <c r="X34" s="24">
        <v>0</v>
      </c>
      <c r="Y34" s="21">
        <v>0</v>
      </c>
      <c r="Z34" s="24">
        <v>0</v>
      </c>
      <c r="AA34" s="23">
        <v>96</v>
      </c>
      <c r="AB34" s="24">
        <v>14518</v>
      </c>
    </row>
    <row r="35" spans="1:28" s="6" customFormat="1" ht="16.5" customHeight="1">
      <c r="A35" s="19"/>
      <c r="B35" s="20" t="s">
        <v>4</v>
      </c>
      <c r="C35" s="23">
        <v>3191</v>
      </c>
      <c r="D35" s="43">
        <v>354263</v>
      </c>
      <c r="E35" s="38">
        <v>2317</v>
      </c>
      <c r="F35" s="22">
        <v>156375</v>
      </c>
      <c r="G35" s="23">
        <v>590</v>
      </c>
      <c r="H35" s="24">
        <v>118673</v>
      </c>
      <c r="I35" s="68">
        <v>0</v>
      </c>
      <c r="J35" s="69">
        <v>0</v>
      </c>
      <c r="K35" s="23">
        <v>5</v>
      </c>
      <c r="L35" s="24">
        <v>1053</v>
      </c>
      <c r="M35" s="21">
        <v>31</v>
      </c>
      <c r="N35" s="24">
        <v>9809</v>
      </c>
      <c r="O35" s="23">
        <v>3</v>
      </c>
      <c r="P35" s="24">
        <v>2656</v>
      </c>
      <c r="Q35" s="21">
        <v>15</v>
      </c>
      <c r="R35" s="24">
        <v>24425</v>
      </c>
      <c r="S35" s="78">
        <v>6</v>
      </c>
      <c r="T35" s="24">
        <v>2748</v>
      </c>
      <c r="U35" s="68">
        <v>0</v>
      </c>
      <c r="V35" s="69">
        <v>0</v>
      </c>
      <c r="W35" s="70">
        <v>0</v>
      </c>
      <c r="X35" s="69">
        <v>0</v>
      </c>
      <c r="Y35" s="68">
        <v>0</v>
      </c>
      <c r="Z35" s="69">
        <v>0</v>
      </c>
      <c r="AA35" s="23">
        <v>224</v>
      </c>
      <c r="AB35" s="24">
        <v>38524</v>
      </c>
    </row>
    <row r="36" spans="1:28" s="6" customFormat="1" ht="16.5" customHeight="1">
      <c r="A36" s="19" t="s">
        <v>88</v>
      </c>
      <c r="B36" s="20" t="s">
        <v>5</v>
      </c>
      <c r="C36" s="23">
        <v>4249</v>
      </c>
      <c r="D36" s="43">
        <v>471054</v>
      </c>
      <c r="E36" s="38">
        <v>3016</v>
      </c>
      <c r="F36" s="22">
        <v>184607</v>
      </c>
      <c r="G36" s="23">
        <v>891</v>
      </c>
      <c r="H36" s="24">
        <v>154132</v>
      </c>
      <c r="I36" s="21">
        <v>0</v>
      </c>
      <c r="J36" s="24">
        <v>0</v>
      </c>
      <c r="K36" s="23">
        <v>7</v>
      </c>
      <c r="L36" s="24">
        <v>1481</v>
      </c>
      <c r="M36" s="21">
        <v>49</v>
      </c>
      <c r="N36" s="24">
        <v>10919</v>
      </c>
      <c r="O36" s="23">
        <v>25</v>
      </c>
      <c r="P36" s="24">
        <v>14604</v>
      </c>
      <c r="Q36" s="21">
        <v>22</v>
      </c>
      <c r="R36" s="24">
        <v>38345</v>
      </c>
      <c r="S36" s="78">
        <v>1</v>
      </c>
      <c r="T36" s="24">
        <v>409</v>
      </c>
      <c r="U36" s="68">
        <v>0</v>
      </c>
      <c r="V36" s="24">
        <v>0</v>
      </c>
      <c r="W36" s="23">
        <v>0</v>
      </c>
      <c r="X36" s="24">
        <v>0</v>
      </c>
      <c r="Y36" s="21">
        <v>0</v>
      </c>
      <c r="Z36" s="24">
        <v>0</v>
      </c>
      <c r="AA36" s="23">
        <v>238</v>
      </c>
      <c r="AB36" s="24">
        <v>66557</v>
      </c>
    </row>
    <row r="37" spans="1:28" s="6" customFormat="1" ht="16.5" customHeight="1">
      <c r="A37" s="19"/>
      <c r="B37" s="20" t="s">
        <v>6</v>
      </c>
      <c r="C37" s="23">
        <v>3399</v>
      </c>
      <c r="D37" s="43">
        <v>210570</v>
      </c>
      <c r="E37" s="38">
        <v>92</v>
      </c>
      <c r="F37" s="22">
        <v>5739</v>
      </c>
      <c r="G37" s="23">
        <v>23</v>
      </c>
      <c r="H37" s="24">
        <v>3877</v>
      </c>
      <c r="I37" s="21">
        <v>0</v>
      </c>
      <c r="J37" s="24">
        <v>0</v>
      </c>
      <c r="K37" s="53">
        <v>0</v>
      </c>
      <c r="L37" s="24">
        <v>76</v>
      </c>
      <c r="M37" s="21">
        <v>60</v>
      </c>
      <c r="N37" s="24">
        <v>7051</v>
      </c>
      <c r="O37" s="23">
        <v>23</v>
      </c>
      <c r="P37" s="24">
        <v>14392</v>
      </c>
      <c r="Q37" s="53">
        <v>3</v>
      </c>
      <c r="R37" s="24">
        <v>5066</v>
      </c>
      <c r="S37" s="95">
        <v>0</v>
      </c>
      <c r="T37" s="24">
        <v>25</v>
      </c>
      <c r="U37" s="21">
        <v>0</v>
      </c>
      <c r="V37" s="24">
        <v>0</v>
      </c>
      <c r="W37" s="23">
        <v>3021</v>
      </c>
      <c r="X37" s="24">
        <v>123975</v>
      </c>
      <c r="Y37" s="21">
        <v>0</v>
      </c>
      <c r="Z37" s="24">
        <v>0</v>
      </c>
      <c r="AA37" s="23">
        <v>177</v>
      </c>
      <c r="AB37" s="24">
        <v>50369</v>
      </c>
    </row>
    <row r="38" spans="1:28" s="6" customFormat="1" ht="16.5" customHeight="1">
      <c r="A38" s="19"/>
      <c r="B38" s="20" t="s">
        <v>7</v>
      </c>
      <c r="C38" s="23">
        <v>14768</v>
      </c>
      <c r="D38" s="43">
        <v>469402</v>
      </c>
      <c r="E38" s="38">
        <v>12</v>
      </c>
      <c r="F38" s="22">
        <v>690</v>
      </c>
      <c r="G38" s="23">
        <v>15</v>
      </c>
      <c r="H38" s="24">
        <v>2580</v>
      </c>
      <c r="I38" s="21">
        <v>4</v>
      </c>
      <c r="J38" s="24">
        <v>1002</v>
      </c>
      <c r="K38" s="45">
        <v>0</v>
      </c>
      <c r="L38" s="24">
        <v>2</v>
      </c>
      <c r="M38" s="21">
        <v>32</v>
      </c>
      <c r="N38" s="24">
        <v>5933</v>
      </c>
      <c r="O38" s="23">
        <v>0</v>
      </c>
      <c r="P38" s="24">
        <v>0</v>
      </c>
      <c r="Q38" s="21">
        <v>3</v>
      </c>
      <c r="R38" s="24">
        <v>8801</v>
      </c>
      <c r="S38" s="21">
        <v>0</v>
      </c>
      <c r="T38" s="24">
        <v>0</v>
      </c>
      <c r="U38" s="80">
        <v>0</v>
      </c>
      <c r="V38" s="24">
        <v>5</v>
      </c>
      <c r="W38" s="21">
        <v>14587</v>
      </c>
      <c r="X38" s="24">
        <v>437127</v>
      </c>
      <c r="Y38" s="21">
        <v>0</v>
      </c>
      <c r="Z38" s="24">
        <v>0</v>
      </c>
      <c r="AA38" s="23">
        <v>115</v>
      </c>
      <c r="AB38" s="24">
        <v>13262</v>
      </c>
    </row>
    <row r="39" spans="1:28" s="6" customFormat="1" ht="16.5" customHeight="1">
      <c r="A39" s="19"/>
      <c r="B39" s="20" t="s">
        <v>8</v>
      </c>
      <c r="C39" s="23">
        <v>8333</v>
      </c>
      <c r="D39" s="43">
        <v>275023</v>
      </c>
      <c r="E39" s="38">
        <v>3</v>
      </c>
      <c r="F39" s="22">
        <v>210</v>
      </c>
      <c r="G39" s="23">
        <v>3</v>
      </c>
      <c r="H39" s="24">
        <v>581</v>
      </c>
      <c r="I39" s="21">
        <v>10</v>
      </c>
      <c r="J39" s="24">
        <v>6596</v>
      </c>
      <c r="K39" s="45">
        <v>0</v>
      </c>
      <c r="L39" s="24">
        <v>3</v>
      </c>
      <c r="M39" s="21">
        <v>2</v>
      </c>
      <c r="N39" s="24">
        <v>779</v>
      </c>
      <c r="O39" s="23">
        <v>0</v>
      </c>
      <c r="P39" s="24">
        <v>0</v>
      </c>
      <c r="Q39" s="21">
        <v>3</v>
      </c>
      <c r="R39" s="24">
        <v>8611</v>
      </c>
      <c r="S39" s="21">
        <v>0</v>
      </c>
      <c r="T39" s="22">
        <v>0</v>
      </c>
      <c r="U39" s="68">
        <v>0</v>
      </c>
      <c r="V39" s="24">
        <v>0</v>
      </c>
      <c r="W39" s="23">
        <v>8250</v>
      </c>
      <c r="X39" s="24">
        <v>250800</v>
      </c>
      <c r="Y39" s="21">
        <v>0</v>
      </c>
      <c r="Z39" s="24">
        <v>0</v>
      </c>
      <c r="AA39" s="23">
        <v>62</v>
      </c>
      <c r="AB39" s="24">
        <v>7443</v>
      </c>
    </row>
    <row r="40" spans="1:28" s="6" customFormat="1" ht="16.5" customHeight="1">
      <c r="A40" s="19"/>
      <c r="B40" s="20" t="s">
        <v>9</v>
      </c>
      <c r="C40" s="23">
        <v>49318</v>
      </c>
      <c r="D40" s="43">
        <v>1891367</v>
      </c>
      <c r="E40" s="38">
        <v>8712</v>
      </c>
      <c r="F40" s="22">
        <v>318910</v>
      </c>
      <c r="G40" s="23">
        <v>824</v>
      </c>
      <c r="H40" s="24">
        <v>154900</v>
      </c>
      <c r="I40" s="21">
        <v>24</v>
      </c>
      <c r="J40" s="24">
        <v>16749</v>
      </c>
      <c r="K40" s="23">
        <v>5</v>
      </c>
      <c r="L40" s="24">
        <v>1161</v>
      </c>
      <c r="M40" s="21">
        <v>42</v>
      </c>
      <c r="N40" s="24">
        <v>8990</v>
      </c>
      <c r="O40" s="78">
        <v>0</v>
      </c>
      <c r="P40" s="24">
        <v>24</v>
      </c>
      <c r="Q40" s="21">
        <v>16</v>
      </c>
      <c r="R40" s="24">
        <v>29080</v>
      </c>
      <c r="S40" s="80">
        <v>0</v>
      </c>
      <c r="T40" s="22">
        <v>87</v>
      </c>
      <c r="U40" s="68">
        <v>2</v>
      </c>
      <c r="V40" s="24">
        <v>239</v>
      </c>
      <c r="W40" s="23">
        <v>38253</v>
      </c>
      <c r="X40" s="24">
        <v>1149302</v>
      </c>
      <c r="Y40" s="80">
        <v>0</v>
      </c>
      <c r="Z40" s="24">
        <v>12</v>
      </c>
      <c r="AA40" s="23">
        <v>1440</v>
      </c>
      <c r="AB40" s="24">
        <v>211913</v>
      </c>
    </row>
    <row r="41" spans="1:28" s="6" customFormat="1" ht="16.5" customHeight="1">
      <c r="A41" s="19"/>
      <c r="B41" s="20" t="s">
        <v>10</v>
      </c>
      <c r="C41" s="23">
        <v>65683</v>
      </c>
      <c r="D41" s="43">
        <v>2326326</v>
      </c>
      <c r="E41" s="38">
        <v>4614</v>
      </c>
      <c r="F41" s="22">
        <v>195716</v>
      </c>
      <c r="G41" s="23">
        <v>591</v>
      </c>
      <c r="H41" s="24">
        <v>153691</v>
      </c>
      <c r="I41" s="21">
        <v>691</v>
      </c>
      <c r="J41" s="24">
        <v>175868</v>
      </c>
      <c r="K41" s="23">
        <v>7</v>
      </c>
      <c r="L41" s="24">
        <v>2722</v>
      </c>
      <c r="M41" s="21">
        <v>37</v>
      </c>
      <c r="N41" s="24">
        <v>7801</v>
      </c>
      <c r="O41" s="78">
        <v>0</v>
      </c>
      <c r="P41" s="24">
        <v>5</v>
      </c>
      <c r="Q41" s="21">
        <v>4</v>
      </c>
      <c r="R41" s="24">
        <v>7998</v>
      </c>
      <c r="S41" s="80">
        <v>0</v>
      </c>
      <c r="T41" s="24">
        <v>10</v>
      </c>
      <c r="U41" s="46">
        <v>421</v>
      </c>
      <c r="V41" s="24">
        <v>55945</v>
      </c>
      <c r="W41" s="23">
        <v>58838</v>
      </c>
      <c r="X41" s="24">
        <v>1678133</v>
      </c>
      <c r="Y41" s="80">
        <v>0</v>
      </c>
      <c r="Z41" s="24">
        <v>6</v>
      </c>
      <c r="AA41" s="23">
        <v>480</v>
      </c>
      <c r="AB41" s="24">
        <v>48431</v>
      </c>
    </row>
    <row r="42" spans="1:28" s="6" customFormat="1" ht="16.5" customHeight="1">
      <c r="A42" s="19"/>
      <c r="B42" s="20" t="s">
        <v>11</v>
      </c>
      <c r="C42" s="23">
        <v>11139</v>
      </c>
      <c r="D42" s="43">
        <v>884503</v>
      </c>
      <c r="E42" s="38">
        <v>3319</v>
      </c>
      <c r="F42" s="22">
        <v>189118</v>
      </c>
      <c r="G42" s="23">
        <v>459</v>
      </c>
      <c r="H42" s="24">
        <v>167730</v>
      </c>
      <c r="I42" s="21">
        <v>550</v>
      </c>
      <c r="J42" s="24">
        <v>98406</v>
      </c>
      <c r="K42" s="23">
        <v>66</v>
      </c>
      <c r="L42" s="24">
        <v>45205</v>
      </c>
      <c r="M42" s="21">
        <v>71</v>
      </c>
      <c r="N42" s="24">
        <v>23637</v>
      </c>
      <c r="O42" s="23">
        <v>0</v>
      </c>
      <c r="P42" s="24">
        <v>0</v>
      </c>
      <c r="Q42" s="21">
        <v>6</v>
      </c>
      <c r="R42" s="24">
        <v>9683</v>
      </c>
      <c r="S42" s="78">
        <v>0</v>
      </c>
      <c r="T42" s="24">
        <v>23</v>
      </c>
      <c r="U42" s="78">
        <v>0</v>
      </c>
      <c r="V42" s="24">
        <v>5</v>
      </c>
      <c r="W42" s="23">
        <v>6287</v>
      </c>
      <c r="X42" s="24">
        <v>213179</v>
      </c>
      <c r="Y42" s="21">
        <v>63</v>
      </c>
      <c r="Z42" s="24">
        <v>92068</v>
      </c>
      <c r="AA42" s="23">
        <v>318</v>
      </c>
      <c r="AB42" s="24">
        <v>45449</v>
      </c>
    </row>
    <row r="43" spans="1:28" s="6" customFormat="1" ht="16.5" customHeight="1">
      <c r="A43" s="25"/>
      <c r="B43" s="26" t="s">
        <v>12</v>
      </c>
      <c r="C43" s="31">
        <v>2759</v>
      </c>
      <c r="D43" s="44">
        <v>346192</v>
      </c>
      <c r="E43" s="39">
        <v>2155</v>
      </c>
      <c r="F43" s="34">
        <v>142493</v>
      </c>
      <c r="G43" s="31">
        <v>427</v>
      </c>
      <c r="H43" s="32">
        <v>68720</v>
      </c>
      <c r="I43" s="33">
        <v>0</v>
      </c>
      <c r="J43" s="32">
        <v>0</v>
      </c>
      <c r="K43" s="31">
        <v>8</v>
      </c>
      <c r="L43" s="32">
        <v>4278</v>
      </c>
      <c r="M43" s="33">
        <v>60</v>
      </c>
      <c r="N43" s="32">
        <v>26610</v>
      </c>
      <c r="O43" s="31">
        <v>0</v>
      </c>
      <c r="P43" s="32">
        <v>0</v>
      </c>
      <c r="Q43" s="33">
        <v>11</v>
      </c>
      <c r="R43" s="32">
        <v>16454</v>
      </c>
      <c r="S43" s="79">
        <v>0</v>
      </c>
      <c r="T43" s="32">
        <v>38</v>
      </c>
      <c r="U43" s="33">
        <v>0</v>
      </c>
      <c r="V43" s="32">
        <v>0</v>
      </c>
      <c r="W43" s="33">
        <v>0</v>
      </c>
      <c r="X43" s="32">
        <v>0</v>
      </c>
      <c r="Y43" s="33">
        <v>0</v>
      </c>
      <c r="Z43" s="32">
        <v>0</v>
      </c>
      <c r="AA43" s="31">
        <v>98</v>
      </c>
      <c r="AB43" s="32">
        <v>87599</v>
      </c>
    </row>
    <row r="44" spans="1:4" s="74" customFormat="1" ht="16.5" customHeight="1" thickBot="1">
      <c r="A44" s="76" t="s">
        <v>57</v>
      </c>
      <c r="B44" s="77"/>
      <c r="C44" s="77"/>
      <c r="D44" s="77"/>
    </row>
    <row r="45" spans="1:28" s="72" customFormat="1" ht="13.5">
      <c r="A45" s="114" t="str">
        <f>"2019（令和元）年"&amp;COUNTA(E32:E43)&amp;"月迄"</f>
        <v>2019（令和元）年12月迄</v>
      </c>
      <c r="B45" s="115"/>
      <c r="C45" s="71">
        <f>SUM(C32:C43)</f>
        <v>172268</v>
      </c>
      <c r="D45" s="71">
        <f>SUM(D32:D43)+1</f>
        <v>8330487</v>
      </c>
      <c r="E45" s="71">
        <f>SUM(E32:E43)</f>
        <v>30987</v>
      </c>
      <c r="F45" s="71">
        <f>SUM(F32:F43)-2</f>
        <v>1780141</v>
      </c>
      <c r="G45" s="71">
        <f>SUM(G32:G43)+1</f>
        <v>6024</v>
      </c>
      <c r="H45" s="71">
        <f>SUM(H32:H43)-1</f>
        <v>1196731</v>
      </c>
      <c r="I45" s="71">
        <f>SUM(I32:I43)</f>
        <v>1279</v>
      </c>
      <c r="J45" s="71">
        <f>SUM(J32:J43)-2</f>
        <v>298619</v>
      </c>
      <c r="K45" s="71">
        <f>SUM(K32:K43)</f>
        <v>112</v>
      </c>
      <c r="L45" s="71">
        <f>SUM(L32:L43)+1</f>
        <v>58728</v>
      </c>
      <c r="M45" s="71">
        <f>SUM(M32:M43)</f>
        <v>591</v>
      </c>
      <c r="N45" s="71">
        <f>SUM(N32:N43)-1</f>
        <v>141378</v>
      </c>
      <c r="O45" s="71">
        <f>SUM(O32:O43)</f>
        <v>51</v>
      </c>
      <c r="P45" s="71">
        <f>SUM(P32:P43)-1</f>
        <v>31680</v>
      </c>
      <c r="Q45" s="71">
        <f>SUM(Q32:Q43)</f>
        <v>95</v>
      </c>
      <c r="R45" s="71">
        <f>SUM(R32:R43)+1</f>
        <v>172561</v>
      </c>
      <c r="S45" s="71">
        <f>SUM(S32:S43)+1</f>
        <v>35</v>
      </c>
      <c r="T45" s="71">
        <f>SUM(T32:T43)+1</f>
        <v>16181</v>
      </c>
      <c r="U45" s="71">
        <f>SUM(U32:U43)</f>
        <v>423</v>
      </c>
      <c r="V45" s="71">
        <f>SUM(V32:V43)+1</f>
        <v>56195</v>
      </c>
      <c r="W45" s="71">
        <f>SUM(W32:W43)-1</f>
        <v>129235</v>
      </c>
      <c r="X45" s="71">
        <f>SUM(X32:X43)-1</f>
        <v>3852515</v>
      </c>
      <c r="Y45" s="71">
        <f>SUM(Y32:Y43)</f>
        <v>63</v>
      </c>
      <c r="Z45" s="71">
        <f>SUM(Z32:Z43)</f>
        <v>92086</v>
      </c>
      <c r="AA45" s="71">
        <f>SUM(AA32:AA43)-1</f>
        <v>3373</v>
      </c>
      <c r="AB45" s="88">
        <f>SUM(AB32:AB43)+5</f>
        <v>633672</v>
      </c>
    </row>
    <row r="46" spans="1:28" s="74" customFormat="1" ht="13.5" customHeight="1">
      <c r="A46" s="116" t="str">
        <f>"前年"&amp;COUNTA(E32:E43)&amp;"月迄"</f>
        <v>前年12月迄</v>
      </c>
      <c r="B46" s="117"/>
      <c r="C46" s="73">
        <f ca="1">SUM(C20:(INDIRECT("c"&amp;COUNT($J32:$J43)+19)))</f>
        <v>121878</v>
      </c>
      <c r="D46" s="73">
        <f ca="1">SUM(D20:(INDIRECT("d"&amp;COUNT($J32:$J43)+19)))+1</f>
        <v>8238832</v>
      </c>
      <c r="E46" s="73">
        <f ca="1">SUM(E20:(INDIRECT("e"&amp;COUNT($J32:$J43)+19)))</f>
        <v>31514</v>
      </c>
      <c r="F46" s="73">
        <f ca="1">SUM(F20:(INDIRECT("f"&amp;COUNT($J32:$J43)+19)))</f>
        <v>2021680</v>
      </c>
      <c r="G46" s="73">
        <f ca="1">SUM(G20:(INDIRECT("g"&amp;COUNT($J32:$J43)+19)))</f>
        <v>5258</v>
      </c>
      <c r="H46" s="73">
        <f ca="1">SUM(H20:(INDIRECT("h"&amp;COUNT($J32:$J43)+19)))-1</f>
        <v>1205230</v>
      </c>
      <c r="I46" s="73">
        <f ca="1">SUM(I20:(INDIRECT("i"&amp;COUNT($J32:$J43)+19)))-2</f>
        <v>5389</v>
      </c>
      <c r="J46" s="73">
        <f ca="1">SUM(J20:(INDIRECT("j"&amp;COUNT($J32:$J43)+19)))+1</f>
        <v>895034</v>
      </c>
      <c r="K46" s="73">
        <f ca="1">SUM(K20:(INDIRECT("k"&amp;COUNT($J32:$J43)+19)))</f>
        <v>117</v>
      </c>
      <c r="L46" s="73">
        <f ca="1">SUM(L20:(INDIRECT("l"&amp;COUNT($J32:$J43)+19)))-1</f>
        <v>50272</v>
      </c>
      <c r="M46" s="73">
        <f ca="1">SUM(M20:(INDIRECT("m"&amp;COUNT($J32:$J43)+19)))-1</f>
        <v>698</v>
      </c>
      <c r="N46" s="73">
        <f ca="1">SUM(N20:(INDIRECT("n"&amp;COUNT($J32:$J43)+19)))</f>
        <v>206921</v>
      </c>
      <c r="O46" s="73">
        <f ca="1">SUM(O20:(INDIRECT("o"&amp;COUNT($J32:$J43)+19)))+1</f>
        <v>103</v>
      </c>
      <c r="P46" s="73">
        <f ca="1">SUM(P20:(INDIRECT("p"&amp;COUNT($J32:$J43)+19)))-1</f>
        <v>57670</v>
      </c>
      <c r="Q46" s="73">
        <f ca="1">SUM(Q20:(INDIRECT("q"&amp;COUNT($J32:$J43)+19)))</f>
        <v>92</v>
      </c>
      <c r="R46" s="73">
        <f ca="1">SUM(R20:(INDIRECT("r"&amp;COUNT($J32:$J43)+19)))-1</f>
        <v>167817</v>
      </c>
      <c r="S46" s="94">
        <f ca="1">SUM(S20:(INDIRECT("s"&amp;COUNT($J32:$J43)+19)))</f>
        <v>12</v>
      </c>
      <c r="T46" s="73">
        <f ca="1">SUM(T20:(INDIRECT("t"&amp;COUNT($J32:$J43)+19)))+1</f>
        <v>1580</v>
      </c>
      <c r="U46" s="73">
        <f ca="1">SUM(U20:(INDIRECT("u"&amp;COUNT($J32:$J43)+19)))</f>
        <v>1360</v>
      </c>
      <c r="V46" s="73">
        <f ca="1">SUM(V20:(INDIRECT("v"&amp;COUNT($J32:$J43)+19)))</f>
        <v>209669</v>
      </c>
      <c r="W46" s="73">
        <f ca="1">SUM(W20:(INDIRECT("w"&amp;COUNT($J32:$J43)+19)))</f>
        <v>72696</v>
      </c>
      <c r="X46" s="73">
        <f ca="1">SUM(X20:(INDIRECT("x"&amp;COUNT($J32:$J43)+19)))</f>
        <v>2474585</v>
      </c>
      <c r="Y46" s="73">
        <f ca="1">SUM(Y20:(INDIRECT("y"&amp;COUNT($J32:$J43)+19)))</f>
        <v>144</v>
      </c>
      <c r="Z46" s="73">
        <f ca="1">SUM(Z20:(INDIRECT("z"&amp;COUNT($J32:$J43)+19)))+1</f>
        <v>154433</v>
      </c>
      <c r="AA46" s="73">
        <f ca="1">SUM(AA20:(INDIRECT("aa"&amp;COUNT($J32:$J43)+19)))+2</f>
        <v>4495</v>
      </c>
      <c r="AB46" s="89">
        <f ca="1">SUM(AB20:(INDIRECT("ab"&amp;COUNT($J32:$J43)+19)))+2</f>
        <v>793941</v>
      </c>
    </row>
    <row r="47" spans="1:28" s="74" customFormat="1" ht="14.25" thickBot="1">
      <c r="A47" s="118" t="s">
        <v>56</v>
      </c>
      <c r="B47" s="119"/>
      <c r="C47" s="75">
        <f>C45-C46</f>
        <v>50390</v>
      </c>
      <c r="D47" s="75">
        <f aca="true" t="shared" si="0" ref="D47:Z47">D45-D46</f>
        <v>91655</v>
      </c>
      <c r="E47" s="75">
        <f>E45-E46</f>
        <v>-527</v>
      </c>
      <c r="F47" s="75">
        <f t="shared" si="0"/>
        <v>-241539</v>
      </c>
      <c r="G47" s="75">
        <f t="shared" si="0"/>
        <v>766</v>
      </c>
      <c r="H47" s="75">
        <f>H45-H46</f>
        <v>-8499</v>
      </c>
      <c r="I47" s="75">
        <f t="shared" si="0"/>
        <v>-4110</v>
      </c>
      <c r="J47" s="75">
        <f t="shared" si="0"/>
        <v>-596415</v>
      </c>
      <c r="K47" s="75">
        <f t="shared" si="0"/>
        <v>-5</v>
      </c>
      <c r="L47" s="75">
        <f t="shared" si="0"/>
        <v>8456</v>
      </c>
      <c r="M47" s="75">
        <f t="shared" si="0"/>
        <v>-107</v>
      </c>
      <c r="N47" s="75">
        <f t="shared" si="0"/>
        <v>-65543</v>
      </c>
      <c r="O47" s="75">
        <f t="shared" si="0"/>
        <v>-52</v>
      </c>
      <c r="P47" s="75">
        <f t="shared" si="0"/>
        <v>-25990</v>
      </c>
      <c r="Q47" s="75">
        <f t="shared" si="0"/>
        <v>3</v>
      </c>
      <c r="R47" s="75">
        <f t="shared" si="0"/>
        <v>4744</v>
      </c>
      <c r="S47" s="83">
        <f>S45-S46</f>
        <v>23</v>
      </c>
      <c r="T47" s="75">
        <f t="shared" si="0"/>
        <v>14601</v>
      </c>
      <c r="U47" s="75">
        <f t="shared" si="0"/>
        <v>-937</v>
      </c>
      <c r="V47" s="75">
        <f t="shared" si="0"/>
        <v>-153474</v>
      </c>
      <c r="W47" s="75">
        <f t="shared" si="0"/>
        <v>56539</v>
      </c>
      <c r="X47" s="75">
        <f t="shared" si="0"/>
        <v>1377930</v>
      </c>
      <c r="Y47" s="75">
        <f t="shared" si="0"/>
        <v>-81</v>
      </c>
      <c r="Z47" s="75">
        <f t="shared" si="0"/>
        <v>-62347</v>
      </c>
      <c r="AA47" s="75">
        <f>AA45-AA46</f>
        <v>-1122</v>
      </c>
      <c r="AB47" s="90">
        <f>AB45-AB46</f>
        <v>-160269</v>
      </c>
    </row>
    <row r="48" s="6" customFormat="1" ht="16.5" customHeight="1">
      <c r="A48" s="6" t="s">
        <v>19</v>
      </c>
    </row>
    <row r="49" s="6" customFormat="1" ht="16.5" customHeight="1">
      <c r="A49" s="6" t="s">
        <v>20</v>
      </c>
    </row>
    <row r="50" s="1" customFormat="1" ht="15" customHeight="1"/>
    <row r="51" spans="3:28" ht="13.5"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</row>
  </sheetData>
  <sheetProtection/>
  <mergeCells count="17">
    <mergeCell ref="Y4:Z4"/>
    <mergeCell ref="AA4:AB4"/>
    <mergeCell ref="A45:B45"/>
    <mergeCell ref="A46:B46"/>
    <mergeCell ref="A47:B47"/>
    <mergeCell ref="M4:N4"/>
    <mergeCell ref="O4:P4"/>
    <mergeCell ref="Q4:R4"/>
    <mergeCell ref="S4:T4"/>
    <mergeCell ref="U4:V4"/>
    <mergeCell ref="W4:X4"/>
    <mergeCell ref="A4:B5"/>
    <mergeCell ref="C4:D4"/>
    <mergeCell ref="E4:F4"/>
    <mergeCell ref="G4:H4"/>
    <mergeCell ref="I4:J4"/>
    <mergeCell ref="K4:L4"/>
  </mergeCells>
  <conditionalFormatting sqref="C45:AB45 C46:R47 T46:AB47">
    <cfRule type="cellIs" priority="1" dxfId="12" operator="equal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7.59765625" style="56" customWidth="1"/>
    <col min="2" max="2" width="5.5" style="56" customWidth="1"/>
    <col min="3" max="3" width="11.8984375" style="56" customWidth="1"/>
    <col min="4" max="4" width="13.5" style="56" customWidth="1"/>
    <col min="5" max="5" width="8.59765625" style="56" customWidth="1"/>
    <col min="6" max="6" width="11.8984375" style="56" customWidth="1"/>
    <col min="7" max="7" width="8.59765625" style="56" customWidth="1"/>
    <col min="8" max="8" width="11.8984375" style="56" customWidth="1"/>
    <col min="9" max="9" width="8.59765625" style="56" customWidth="1"/>
    <col min="10" max="10" width="11.8984375" style="56" customWidth="1"/>
    <col min="11" max="11" width="8.59765625" style="56" customWidth="1"/>
    <col min="12" max="12" width="11.8984375" style="56" customWidth="1"/>
    <col min="13" max="13" width="8.59765625" style="56" customWidth="1"/>
    <col min="14" max="14" width="11.8984375" style="56" customWidth="1"/>
    <col min="15" max="15" width="8.59765625" style="56" customWidth="1"/>
    <col min="16" max="16" width="11.8984375" style="56" customWidth="1"/>
    <col min="17" max="17" width="8.59765625" style="56" customWidth="1"/>
    <col min="18" max="18" width="11.8984375" style="56" customWidth="1"/>
    <col min="19" max="19" width="8.59765625" style="56" customWidth="1"/>
    <col min="20" max="20" width="11.8984375" style="56" customWidth="1"/>
    <col min="21" max="21" width="8.59765625" style="56" customWidth="1"/>
    <col min="22" max="22" width="11.8984375" style="56" customWidth="1"/>
    <col min="23" max="23" width="8.59765625" style="56" customWidth="1"/>
    <col min="24" max="24" width="11.8984375" style="56" customWidth="1"/>
    <col min="25" max="25" width="8.59765625" style="56" customWidth="1"/>
    <col min="26" max="26" width="11.8984375" style="56" customWidth="1"/>
    <col min="27" max="27" width="8.59765625" style="56" customWidth="1"/>
    <col min="28" max="28" width="11.8984375" style="56" customWidth="1"/>
    <col min="29" max="16384" width="9" style="56" customWidth="1"/>
  </cols>
  <sheetData>
    <row r="1" spans="1:4" ht="16.5" customHeight="1">
      <c r="A1" s="5" t="s">
        <v>73</v>
      </c>
      <c r="C1" s="5"/>
      <c r="D1" s="5"/>
    </row>
    <row r="2" ht="13.5" customHeight="1"/>
    <row r="3" s="6" customFormat="1" ht="16.5" customHeight="1">
      <c r="A3" s="6" t="s">
        <v>31</v>
      </c>
    </row>
    <row r="4" spans="1:28" s="6" customFormat="1" ht="18.75" customHeight="1">
      <c r="A4" s="120" t="s">
        <v>18</v>
      </c>
      <c r="B4" s="121"/>
      <c r="C4" s="124" t="s">
        <v>0</v>
      </c>
      <c r="D4" s="125"/>
      <c r="E4" s="126" t="s">
        <v>14</v>
      </c>
      <c r="F4" s="113"/>
      <c r="G4" s="112" t="s">
        <v>21</v>
      </c>
      <c r="H4" s="113"/>
      <c r="I4" s="112" t="s">
        <v>22</v>
      </c>
      <c r="J4" s="113"/>
      <c r="K4" s="112" t="s">
        <v>23</v>
      </c>
      <c r="L4" s="113"/>
      <c r="M4" s="112" t="s">
        <v>24</v>
      </c>
      <c r="N4" s="113"/>
      <c r="O4" s="112" t="s">
        <v>15</v>
      </c>
      <c r="P4" s="113"/>
      <c r="Q4" s="112" t="s">
        <v>25</v>
      </c>
      <c r="R4" s="113"/>
      <c r="S4" s="112" t="s">
        <v>26</v>
      </c>
      <c r="T4" s="113"/>
      <c r="U4" s="112" t="s">
        <v>27</v>
      </c>
      <c r="V4" s="113"/>
      <c r="W4" s="112" t="s">
        <v>28</v>
      </c>
      <c r="X4" s="113"/>
      <c r="Y4" s="112" t="s">
        <v>29</v>
      </c>
      <c r="Z4" s="113"/>
      <c r="AA4" s="112" t="s">
        <v>30</v>
      </c>
      <c r="AB4" s="113"/>
    </row>
    <row r="5" spans="1:28" s="6" customFormat="1" ht="18.75" customHeight="1">
      <c r="A5" s="122"/>
      <c r="B5" s="123"/>
      <c r="C5" s="7" t="s">
        <v>16</v>
      </c>
      <c r="D5" s="40" t="s">
        <v>17</v>
      </c>
      <c r="E5" s="35" t="s">
        <v>16</v>
      </c>
      <c r="F5" s="10" t="s">
        <v>17</v>
      </c>
      <c r="G5" s="7" t="s">
        <v>16</v>
      </c>
      <c r="H5" s="8" t="s">
        <v>17</v>
      </c>
      <c r="I5" s="9" t="s">
        <v>16</v>
      </c>
      <c r="J5" s="10" t="s">
        <v>17</v>
      </c>
      <c r="K5" s="7" t="s">
        <v>16</v>
      </c>
      <c r="L5" s="8" t="s">
        <v>17</v>
      </c>
      <c r="M5" s="9" t="s">
        <v>16</v>
      </c>
      <c r="N5" s="10" t="s">
        <v>17</v>
      </c>
      <c r="O5" s="7" t="s">
        <v>16</v>
      </c>
      <c r="P5" s="8" t="s">
        <v>17</v>
      </c>
      <c r="Q5" s="9" t="s">
        <v>16</v>
      </c>
      <c r="R5" s="8" t="s">
        <v>17</v>
      </c>
      <c r="S5" s="7" t="s">
        <v>16</v>
      </c>
      <c r="T5" s="8" t="s">
        <v>17</v>
      </c>
      <c r="U5" s="9" t="s">
        <v>16</v>
      </c>
      <c r="V5" s="10" t="s">
        <v>17</v>
      </c>
      <c r="W5" s="7" t="s">
        <v>16</v>
      </c>
      <c r="X5" s="8" t="s">
        <v>17</v>
      </c>
      <c r="Y5" s="9" t="s">
        <v>16</v>
      </c>
      <c r="Z5" s="8" t="s">
        <v>17</v>
      </c>
      <c r="AA5" s="7" t="s">
        <v>16</v>
      </c>
      <c r="AB5" s="8" t="s">
        <v>17</v>
      </c>
    </row>
    <row r="6" spans="1:28" s="6" customFormat="1" ht="18.75" customHeight="1">
      <c r="A6" s="11" t="s">
        <v>71</v>
      </c>
      <c r="B6" s="85" t="s">
        <v>13</v>
      </c>
      <c r="C6" s="27">
        <v>114577</v>
      </c>
      <c r="D6" s="41">
        <v>11911835</v>
      </c>
      <c r="E6" s="36">
        <v>53813</v>
      </c>
      <c r="F6" s="30">
        <v>3896698</v>
      </c>
      <c r="G6" s="27">
        <v>3869</v>
      </c>
      <c r="H6" s="28">
        <v>966494</v>
      </c>
      <c r="I6" s="29">
        <v>28526</v>
      </c>
      <c r="J6" s="28">
        <v>1985504</v>
      </c>
      <c r="K6" s="27">
        <v>3602</v>
      </c>
      <c r="L6" s="28">
        <v>587516</v>
      </c>
      <c r="M6" s="29">
        <v>1345</v>
      </c>
      <c r="N6" s="28">
        <v>705161</v>
      </c>
      <c r="O6" s="27">
        <v>1579</v>
      </c>
      <c r="P6" s="28">
        <v>856075</v>
      </c>
      <c r="Q6" s="29">
        <v>118</v>
      </c>
      <c r="R6" s="28">
        <v>212500</v>
      </c>
      <c r="S6" s="27">
        <v>741</v>
      </c>
      <c r="T6" s="28">
        <v>140828</v>
      </c>
      <c r="U6" s="29">
        <v>3364</v>
      </c>
      <c r="V6" s="28">
        <v>78773</v>
      </c>
      <c r="W6" s="27">
        <v>2280</v>
      </c>
      <c r="X6" s="28">
        <v>43754</v>
      </c>
      <c r="Y6" s="29">
        <v>251</v>
      </c>
      <c r="Z6" s="28">
        <v>257030</v>
      </c>
      <c r="AA6" s="27">
        <v>15089</v>
      </c>
      <c r="AB6" s="28">
        <v>2181502</v>
      </c>
    </row>
    <row r="7" spans="1:28" s="6" customFormat="1" ht="18.75" customHeight="1">
      <c r="A7" s="19" t="s">
        <v>70</v>
      </c>
      <c r="B7" s="86" t="s">
        <v>13</v>
      </c>
      <c r="C7" s="23">
        <v>137948</v>
      </c>
      <c r="D7" s="43">
        <v>14562957</v>
      </c>
      <c r="E7" s="38">
        <v>55786</v>
      </c>
      <c r="F7" s="22">
        <v>4489157</v>
      </c>
      <c r="G7" s="23">
        <v>3310</v>
      </c>
      <c r="H7" s="24">
        <v>992926</v>
      </c>
      <c r="I7" s="21">
        <v>27899</v>
      </c>
      <c r="J7" s="24">
        <v>2081572</v>
      </c>
      <c r="K7" s="23">
        <v>3869</v>
      </c>
      <c r="L7" s="24">
        <v>893617</v>
      </c>
      <c r="M7" s="21">
        <v>1490</v>
      </c>
      <c r="N7" s="24">
        <v>754333</v>
      </c>
      <c r="O7" s="23">
        <v>1487</v>
      </c>
      <c r="P7" s="24">
        <v>916744</v>
      </c>
      <c r="Q7" s="21">
        <v>108</v>
      </c>
      <c r="R7" s="24">
        <v>195023</v>
      </c>
      <c r="S7" s="23">
        <v>725</v>
      </c>
      <c r="T7" s="24">
        <v>89569</v>
      </c>
      <c r="U7" s="21">
        <v>1891</v>
      </c>
      <c r="V7" s="24">
        <v>144705</v>
      </c>
      <c r="W7" s="23">
        <v>16112</v>
      </c>
      <c r="X7" s="24">
        <v>382795</v>
      </c>
      <c r="Y7" s="46">
        <v>360</v>
      </c>
      <c r="Z7" s="24">
        <v>326991</v>
      </c>
      <c r="AA7" s="23">
        <v>24912</v>
      </c>
      <c r="AB7" s="24">
        <v>3295525</v>
      </c>
    </row>
    <row r="8" spans="1:28" s="6" customFormat="1" ht="18.75" customHeight="1">
      <c r="A8" s="19" t="s">
        <v>69</v>
      </c>
      <c r="B8" s="86" t="s">
        <v>13</v>
      </c>
      <c r="C8" s="23">
        <v>107569</v>
      </c>
      <c r="D8" s="43">
        <v>12723109</v>
      </c>
      <c r="E8" s="38">
        <v>50408</v>
      </c>
      <c r="F8" s="22">
        <v>4285036</v>
      </c>
      <c r="G8" s="23">
        <v>3511</v>
      </c>
      <c r="H8" s="24">
        <v>1040834</v>
      </c>
      <c r="I8" s="21">
        <v>34098</v>
      </c>
      <c r="J8" s="24">
        <v>2522079</v>
      </c>
      <c r="K8" s="23">
        <v>4992</v>
      </c>
      <c r="L8" s="24">
        <v>660467</v>
      </c>
      <c r="M8" s="21">
        <v>1176</v>
      </c>
      <c r="N8" s="24">
        <v>718806</v>
      </c>
      <c r="O8" s="23">
        <v>1422</v>
      </c>
      <c r="P8" s="24">
        <v>853981</v>
      </c>
      <c r="Q8" s="21">
        <v>103</v>
      </c>
      <c r="R8" s="24">
        <v>171971</v>
      </c>
      <c r="S8" s="23">
        <v>482</v>
      </c>
      <c r="T8" s="24">
        <v>114497</v>
      </c>
      <c r="U8" s="21">
        <v>794</v>
      </c>
      <c r="V8" s="24">
        <v>72318</v>
      </c>
      <c r="W8" s="23">
        <v>52</v>
      </c>
      <c r="X8" s="24">
        <v>2180</v>
      </c>
      <c r="Y8" s="46">
        <v>250</v>
      </c>
      <c r="Z8" s="24">
        <v>366073</v>
      </c>
      <c r="AA8" s="23">
        <v>10282</v>
      </c>
      <c r="AB8" s="24">
        <v>1914866</v>
      </c>
    </row>
    <row r="9" spans="1:28" s="6" customFormat="1" ht="18.75" customHeight="1">
      <c r="A9" s="19" t="s">
        <v>68</v>
      </c>
      <c r="B9" s="86" t="s">
        <v>13</v>
      </c>
      <c r="C9" s="23">
        <v>125679</v>
      </c>
      <c r="D9" s="43">
        <v>15281221</v>
      </c>
      <c r="E9" s="38">
        <v>66253</v>
      </c>
      <c r="F9" s="22">
        <v>6179462</v>
      </c>
      <c r="G9" s="23">
        <v>3669</v>
      </c>
      <c r="H9" s="24">
        <v>1200338</v>
      </c>
      <c r="I9" s="21">
        <v>30698</v>
      </c>
      <c r="J9" s="24">
        <v>2575115</v>
      </c>
      <c r="K9" s="23">
        <v>1852</v>
      </c>
      <c r="L9" s="24">
        <v>257255</v>
      </c>
      <c r="M9" s="21">
        <v>972</v>
      </c>
      <c r="N9" s="24">
        <v>586883</v>
      </c>
      <c r="O9" s="23">
        <v>1462</v>
      </c>
      <c r="P9" s="24">
        <v>895714</v>
      </c>
      <c r="Q9" s="21">
        <v>32</v>
      </c>
      <c r="R9" s="24">
        <v>54093</v>
      </c>
      <c r="S9" s="23">
        <v>233</v>
      </c>
      <c r="T9" s="24">
        <v>70889</v>
      </c>
      <c r="U9" s="21">
        <v>19</v>
      </c>
      <c r="V9" s="24">
        <v>2464</v>
      </c>
      <c r="W9" s="23">
        <v>681</v>
      </c>
      <c r="X9" s="24">
        <v>20030</v>
      </c>
      <c r="Y9" s="46">
        <v>102</v>
      </c>
      <c r="Z9" s="24">
        <v>191992</v>
      </c>
      <c r="AA9" s="23">
        <v>19706</v>
      </c>
      <c r="AB9" s="24">
        <v>3246986</v>
      </c>
    </row>
    <row r="10" spans="1:28" s="6" customFormat="1" ht="18.75" customHeight="1">
      <c r="A10" s="19" t="s">
        <v>67</v>
      </c>
      <c r="B10" s="86" t="s">
        <v>13</v>
      </c>
      <c r="C10" s="23">
        <v>128052</v>
      </c>
      <c r="D10" s="43">
        <v>12154590</v>
      </c>
      <c r="E10" s="38">
        <v>55825</v>
      </c>
      <c r="F10" s="22">
        <v>3325149</v>
      </c>
      <c r="G10" s="23">
        <v>3603</v>
      </c>
      <c r="H10" s="24">
        <v>926514</v>
      </c>
      <c r="I10" s="21">
        <v>28797</v>
      </c>
      <c r="J10" s="24">
        <v>2548975</v>
      </c>
      <c r="K10" s="23">
        <v>4772</v>
      </c>
      <c r="L10" s="24">
        <v>619477</v>
      </c>
      <c r="M10" s="21">
        <v>863</v>
      </c>
      <c r="N10" s="24">
        <v>414570</v>
      </c>
      <c r="O10" s="23">
        <v>1019</v>
      </c>
      <c r="P10" s="24">
        <v>615953</v>
      </c>
      <c r="Q10" s="21">
        <v>72</v>
      </c>
      <c r="R10" s="24">
        <v>121419</v>
      </c>
      <c r="S10" s="23">
        <v>958</v>
      </c>
      <c r="T10" s="24">
        <v>176614</v>
      </c>
      <c r="U10" s="21">
        <v>0</v>
      </c>
      <c r="V10" s="24">
        <v>0</v>
      </c>
      <c r="W10" s="23">
        <v>7138</v>
      </c>
      <c r="X10" s="24">
        <v>123775</v>
      </c>
      <c r="Y10" s="46">
        <v>252</v>
      </c>
      <c r="Z10" s="24">
        <v>250170</v>
      </c>
      <c r="AA10" s="23">
        <v>24753</v>
      </c>
      <c r="AB10" s="24">
        <v>3031974</v>
      </c>
    </row>
    <row r="11" spans="1:28" s="6" customFormat="1" ht="18.75" customHeight="1">
      <c r="A11" s="19" t="s">
        <v>66</v>
      </c>
      <c r="B11" s="86" t="s">
        <v>13</v>
      </c>
      <c r="C11" s="23">
        <v>113990</v>
      </c>
      <c r="D11" s="43">
        <v>11357761</v>
      </c>
      <c r="E11" s="38">
        <v>64240</v>
      </c>
      <c r="F11" s="22">
        <v>4297828</v>
      </c>
      <c r="G11" s="23">
        <v>4715</v>
      </c>
      <c r="H11" s="24">
        <v>1228507</v>
      </c>
      <c r="I11" s="21">
        <v>18531</v>
      </c>
      <c r="J11" s="24">
        <v>2052722</v>
      </c>
      <c r="K11" s="23">
        <v>3085</v>
      </c>
      <c r="L11" s="24">
        <v>713613</v>
      </c>
      <c r="M11" s="21">
        <v>866</v>
      </c>
      <c r="N11" s="24">
        <v>331092</v>
      </c>
      <c r="O11" s="23">
        <v>1282</v>
      </c>
      <c r="P11" s="24">
        <v>899729</v>
      </c>
      <c r="Q11" s="21">
        <v>58</v>
      </c>
      <c r="R11" s="24">
        <v>75496</v>
      </c>
      <c r="S11" s="23">
        <v>429</v>
      </c>
      <c r="T11" s="24">
        <v>88209</v>
      </c>
      <c r="U11" s="21">
        <v>250</v>
      </c>
      <c r="V11" s="24">
        <v>9225</v>
      </c>
      <c r="W11" s="23">
        <v>14742</v>
      </c>
      <c r="X11" s="24">
        <v>356297</v>
      </c>
      <c r="Y11" s="46">
        <v>271</v>
      </c>
      <c r="Z11" s="24">
        <v>190923</v>
      </c>
      <c r="AA11" s="23">
        <v>5521</v>
      </c>
      <c r="AB11" s="24">
        <v>1114120</v>
      </c>
    </row>
    <row r="12" spans="1:28" s="6" customFormat="1" ht="18.75" customHeight="1">
      <c r="A12" s="19" t="s">
        <v>65</v>
      </c>
      <c r="B12" s="86" t="s">
        <v>13</v>
      </c>
      <c r="C12" s="23">
        <v>119641</v>
      </c>
      <c r="D12" s="43">
        <v>9969801</v>
      </c>
      <c r="E12" s="38">
        <v>69584</v>
      </c>
      <c r="F12" s="22">
        <v>2931896</v>
      </c>
      <c r="G12" s="23">
        <v>5691</v>
      </c>
      <c r="H12" s="24">
        <v>1426392</v>
      </c>
      <c r="I12" s="21">
        <v>28277</v>
      </c>
      <c r="J12" s="24">
        <v>2446794</v>
      </c>
      <c r="K12" s="23">
        <v>6271</v>
      </c>
      <c r="L12" s="24">
        <v>1119647</v>
      </c>
      <c r="M12" s="21">
        <v>1303</v>
      </c>
      <c r="N12" s="24">
        <v>482612</v>
      </c>
      <c r="O12" s="23">
        <v>853</v>
      </c>
      <c r="P12" s="24">
        <v>549834</v>
      </c>
      <c r="Q12" s="21">
        <v>97</v>
      </c>
      <c r="R12" s="24">
        <v>92703</v>
      </c>
      <c r="S12" s="23">
        <v>248</v>
      </c>
      <c r="T12" s="24">
        <v>65418</v>
      </c>
      <c r="U12" s="21">
        <v>13</v>
      </c>
      <c r="V12" s="24">
        <v>2146</v>
      </c>
      <c r="W12" s="23">
        <v>3727</v>
      </c>
      <c r="X12" s="24">
        <v>76854</v>
      </c>
      <c r="Y12" s="46">
        <v>138</v>
      </c>
      <c r="Z12" s="24">
        <v>137147</v>
      </c>
      <c r="AA12" s="23">
        <v>3439</v>
      </c>
      <c r="AB12" s="24">
        <v>638358</v>
      </c>
    </row>
    <row r="13" spans="1:28" s="6" customFormat="1" ht="18.75" customHeight="1">
      <c r="A13" s="19" t="s">
        <v>64</v>
      </c>
      <c r="B13" s="86" t="s">
        <v>13</v>
      </c>
      <c r="C13" s="23">
        <v>110258</v>
      </c>
      <c r="D13" s="43">
        <v>8839453</v>
      </c>
      <c r="E13" s="64">
        <v>58421</v>
      </c>
      <c r="F13" s="22">
        <v>2986632</v>
      </c>
      <c r="G13" s="23">
        <v>6652</v>
      </c>
      <c r="H13" s="24">
        <v>1281557</v>
      </c>
      <c r="I13" s="65">
        <v>23683</v>
      </c>
      <c r="J13" s="66">
        <v>1484421</v>
      </c>
      <c r="K13" s="23">
        <v>6664</v>
      </c>
      <c r="L13" s="24">
        <v>963214</v>
      </c>
      <c r="M13" s="21">
        <v>1155</v>
      </c>
      <c r="N13" s="24">
        <v>444008</v>
      </c>
      <c r="O13" s="23">
        <v>504</v>
      </c>
      <c r="P13" s="24">
        <v>237111</v>
      </c>
      <c r="Q13" s="21">
        <v>104</v>
      </c>
      <c r="R13" s="24">
        <v>96695</v>
      </c>
      <c r="S13" s="23">
        <v>47</v>
      </c>
      <c r="T13" s="24">
        <v>11308</v>
      </c>
      <c r="U13" s="21">
        <v>2410</v>
      </c>
      <c r="V13" s="24">
        <v>181592</v>
      </c>
      <c r="W13" s="46">
        <v>3162</v>
      </c>
      <c r="X13" s="24">
        <v>77658</v>
      </c>
      <c r="Y13" s="46">
        <v>192</v>
      </c>
      <c r="Z13" s="24">
        <v>321608</v>
      </c>
      <c r="AA13" s="67">
        <v>7264</v>
      </c>
      <c r="AB13" s="66">
        <v>753649</v>
      </c>
    </row>
    <row r="14" spans="1:28" s="48" customFormat="1" ht="18.75" customHeight="1">
      <c r="A14" s="19" t="s">
        <v>63</v>
      </c>
      <c r="B14" s="86" t="s">
        <v>13</v>
      </c>
      <c r="C14" s="23">
        <v>110668</v>
      </c>
      <c r="D14" s="43">
        <v>9021716</v>
      </c>
      <c r="E14" s="64">
        <v>65699</v>
      </c>
      <c r="F14" s="22">
        <v>3137775</v>
      </c>
      <c r="G14" s="23">
        <v>7287</v>
      </c>
      <c r="H14" s="24">
        <v>1124322</v>
      </c>
      <c r="I14" s="65">
        <v>15196</v>
      </c>
      <c r="J14" s="66">
        <v>1527694</v>
      </c>
      <c r="K14" s="23">
        <v>3001</v>
      </c>
      <c r="L14" s="24">
        <v>709906</v>
      </c>
      <c r="M14" s="21">
        <v>986</v>
      </c>
      <c r="N14" s="24">
        <v>319190</v>
      </c>
      <c r="O14" s="23">
        <v>268</v>
      </c>
      <c r="P14" s="24">
        <v>173234</v>
      </c>
      <c r="Q14" s="21">
        <v>181</v>
      </c>
      <c r="R14" s="24">
        <v>178894</v>
      </c>
      <c r="S14" s="23">
        <v>116</v>
      </c>
      <c r="T14" s="24">
        <v>38062</v>
      </c>
      <c r="U14" s="21">
        <v>2695</v>
      </c>
      <c r="V14" s="24">
        <v>400759</v>
      </c>
      <c r="W14" s="21">
        <v>9483</v>
      </c>
      <c r="X14" s="24">
        <v>327673</v>
      </c>
      <c r="Y14" s="21">
        <v>196</v>
      </c>
      <c r="Z14" s="24">
        <v>342030</v>
      </c>
      <c r="AA14" s="67">
        <v>5560</v>
      </c>
      <c r="AB14" s="66">
        <v>742177</v>
      </c>
    </row>
    <row r="15" spans="1:28" s="48" customFormat="1" ht="18.75" customHeight="1">
      <c r="A15" s="19" t="s">
        <v>62</v>
      </c>
      <c r="B15" s="86" t="s">
        <v>13</v>
      </c>
      <c r="C15" s="23">
        <v>130571</v>
      </c>
      <c r="D15" s="43">
        <v>12777794</v>
      </c>
      <c r="E15" s="64">
        <v>56430</v>
      </c>
      <c r="F15" s="22">
        <v>3445393</v>
      </c>
      <c r="G15" s="23">
        <v>5709</v>
      </c>
      <c r="H15" s="24">
        <v>1339390</v>
      </c>
      <c r="I15" s="65">
        <v>23207</v>
      </c>
      <c r="J15" s="66">
        <v>2204697</v>
      </c>
      <c r="K15" s="23">
        <v>8431</v>
      </c>
      <c r="L15" s="24">
        <v>1895592</v>
      </c>
      <c r="M15" s="21">
        <v>610</v>
      </c>
      <c r="N15" s="24">
        <v>220837</v>
      </c>
      <c r="O15" s="23">
        <v>431</v>
      </c>
      <c r="P15" s="24">
        <v>285937</v>
      </c>
      <c r="Q15" s="21">
        <v>166</v>
      </c>
      <c r="R15" s="24">
        <v>212345</v>
      </c>
      <c r="S15" s="23">
        <v>36</v>
      </c>
      <c r="T15" s="24">
        <v>22854</v>
      </c>
      <c r="U15" s="21">
        <v>9317</v>
      </c>
      <c r="V15" s="24">
        <v>791049</v>
      </c>
      <c r="W15" s="21">
        <v>20523</v>
      </c>
      <c r="X15" s="24">
        <v>1040849</v>
      </c>
      <c r="Y15" s="21">
        <v>120</v>
      </c>
      <c r="Z15" s="24">
        <v>176301</v>
      </c>
      <c r="AA15" s="67">
        <v>5591</v>
      </c>
      <c r="AB15" s="66">
        <v>1142550</v>
      </c>
    </row>
    <row r="16" spans="1:28" s="48" customFormat="1" ht="18.75" customHeight="1">
      <c r="A16" s="19" t="s">
        <v>61</v>
      </c>
      <c r="B16" s="86" t="s">
        <v>13</v>
      </c>
      <c r="C16" s="23">
        <v>114977</v>
      </c>
      <c r="D16" s="43">
        <v>12142655</v>
      </c>
      <c r="E16" s="64">
        <v>50726</v>
      </c>
      <c r="F16" s="22">
        <v>3216817</v>
      </c>
      <c r="G16" s="23">
        <v>6020</v>
      </c>
      <c r="H16" s="24">
        <v>1732939</v>
      </c>
      <c r="I16" s="65">
        <v>7166</v>
      </c>
      <c r="J16" s="66">
        <v>1226828</v>
      </c>
      <c r="K16" s="23">
        <v>8254</v>
      </c>
      <c r="L16" s="24">
        <v>2031081</v>
      </c>
      <c r="M16" s="21">
        <v>527</v>
      </c>
      <c r="N16" s="24">
        <v>210163</v>
      </c>
      <c r="O16" s="23">
        <v>151</v>
      </c>
      <c r="P16" s="24">
        <v>89239</v>
      </c>
      <c r="Q16" s="21">
        <v>177</v>
      </c>
      <c r="R16" s="24">
        <v>266286</v>
      </c>
      <c r="S16" s="23">
        <v>3</v>
      </c>
      <c r="T16" s="24">
        <v>1554</v>
      </c>
      <c r="U16" s="21">
        <v>10815</v>
      </c>
      <c r="V16" s="24">
        <v>721345</v>
      </c>
      <c r="W16" s="21">
        <v>28805</v>
      </c>
      <c r="X16" s="24">
        <v>1738868</v>
      </c>
      <c r="Y16" s="21">
        <v>252</v>
      </c>
      <c r="Z16" s="24">
        <v>301961</v>
      </c>
      <c r="AA16" s="67">
        <v>2081</v>
      </c>
      <c r="AB16" s="66">
        <v>605574</v>
      </c>
    </row>
    <row r="17" spans="1:28" s="82" customFormat="1" ht="18" customHeight="1">
      <c r="A17" s="19" t="s">
        <v>60</v>
      </c>
      <c r="B17" s="86" t="s">
        <v>13</v>
      </c>
      <c r="C17" s="23">
        <v>114207</v>
      </c>
      <c r="D17" s="43">
        <v>10099229</v>
      </c>
      <c r="E17" s="64">
        <v>39487</v>
      </c>
      <c r="F17" s="22">
        <v>2296624</v>
      </c>
      <c r="G17" s="23">
        <v>6378</v>
      </c>
      <c r="H17" s="24">
        <v>1563395</v>
      </c>
      <c r="I17" s="65">
        <v>5659</v>
      </c>
      <c r="J17" s="66">
        <v>1004696</v>
      </c>
      <c r="K17" s="23">
        <v>1468</v>
      </c>
      <c r="L17" s="24">
        <v>728045</v>
      </c>
      <c r="M17" s="21">
        <v>526</v>
      </c>
      <c r="N17" s="24">
        <v>230714</v>
      </c>
      <c r="O17" s="23">
        <v>138</v>
      </c>
      <c r="P17" s="24">
        <v>81800</v>
      </c>
      <c r="Q17" s="21">
        <v>117</v>
      </c>
      <c r="R17" s="24">
        <v>193017</v>
      </c>
      <c r="S17" s="23">
        <v>1</v>
      </c>
      <c r="T17" s="24">
        <v>984</v>
      </c>
      <c r="U17" s="21">
        <v>6661</v>
      </c>
      <c r="V17" s="24">
        <v>761320</v>
      </c>
      <c r="W17" s="21">
        <v>49471</v>
      </c>
      <c r="X17" s="24">
        <v>2096873</v>
      </c>
      <c r="Y17" s="21">
        <v>170</v>
      </c>
      <c r="Z17" s="24">
        <v>290996</v>
      </c>
      <c r="AA17" s="67">
        <v>4131</v>
      </c>
      <c r="AB17" s="66">
        <v>850765</v>
      </c>
    </row>
    <row r="18" spans="1:28" s="82" customFormat="1" ht="18" customHeight="1" thickBot="1">
      <c r="A18" s="13" t="s">
        <v>59</v>
      </c>
      <c r="B18" s="87" t="s">
        <v>13</v>
      </c>
      <c r="C18" s="17">
        <v>139678</v>
      </c>
      <c r="D18" s="42">
        <v>10203667</v>
      </c>
      <c r="E18" s="37">
        <v>41087</v>
      </c>
      <c r="F18" s="16">
        <v>2165141</v>
      </c>
      <c r="G18" s="17">
        <v>7404</v>
      </c>
      <c r="H18" s="18">
        <v>1918351</v>
      </c>
      <c r="I18" s="61">
        <v>2740</v>
      </c>
      <c r="J18" s="62">
        <v>826415</v>
      </c>
      <c r="K18" s="17">
        <v>45</v>
      </c>
      <c r="L18" s="18">
        <v>13887</v>
      </c>
      <c r="M18" s="15">
        <v>665</v>
      </c>
      <c r="N18" s="18">
        <v>225402</v>
      </c>
      <c r="O18" s="17">
        <v>79</v>
      </c>
      <c r="P18" s="18">
        <v>51109</v>
      </c>
      <c r="Q18" s="15">
        <v>131</v>
      </c>
      <c r="R18" s="18">
        <v>256582</v>
      </c>
      <c r="S18" s="91">
        <v>0</v>
      </c>
      <c r="T18" s="18">
        <v>129</v>
      </c>
      <c r="U18" s="15">
        <v>7653</v>
      </c>
      <c r="V18" s="18">
        <v>659566</v>
      </c>
      <c r="W18" s="15">
        <v>76793</v>
      </c>
      <c r="X18" s="18">
        <v>3170909</v>
      </c>
      <c r="Y18" s="15">
        <v>100</v>
      </c>
      <c r="Z18" s="18">
        <v>204717</v>
      </c>
      <c r="AA18" s="63">
        <v>2981</v>
      </c>
      <c r="AB18" s="62">
        <v>711459</v>
      </c>
    </row>
    <row r="19" spans="1:28" s="6" customFormat="1" ht="16.5" customHeight="1" thickTop="1">
      <c r="A19" s="19" t="s">
        <v>59</v>
      </c>
      <c r="B19" s="20" t="s">
        <v>1</v>
      </c>
      <c r="C19" s="23">
        <v>4797</v>
      </c>
      <c r="D19" s="43">
        <v>547230</v>
      </c>
      <c r="E19" s="38">
        <v>3957</v>
      </c>
      <c r="F19" s="22">
        <v>300672</v>
      </c>
      <c r="G19" s="23">
        <v>681</v>
      </c>
      <c r="H19" s="24">
        <v>171028</v>
      </c>
      <c r="I19" s="21">
        <v>0</v>
      </c>
      <c r="J19" s="24">
        <v>0</v>
      </c>
      <c r="K19" s="23">
        <v>5</v>
      </c>
      <c r="L19" s="24">
        <v>1129</v>
      </c>
      <c r="M19" s="21">
        <v>38</v>
      </c>
      <c r="N19" s="24">
        <v>14046</v>
      </c>
      <c r="O19" s="23">
        <v>0</v>
      </c>
      <c r="P19" s="24">
        <v>0</v>
      </c>
      <c r="Q19" s="46">
        <v>10</v>
      </c>
      <c r="R19" s="24">
        <v>18727</v>
      </c>
      <c r="S19" s="92">
        <v>0</v>
      </c>
      <c r="T19" s="24">
        <v>10</v>
      </c>
      <c r="U19" s="21">
        <v>0</v>
      </c>
      <c r="V19" s="24">
        <v>0</v>
      </c>
      <c r="W19" s="21">
        <v>0</v>
      </c>
      <c r="X19" s="24">
        <v>0</v>
      </c>
      <c r="Y19" s="21">
        <v>0</v>
      </c>
      <c r="Z19" s="24">
        <v>0</v>
      </c>
      <c r="AA19" s="23">
        <v>106</v>
      </c>
      <c r="AB19" s="24">
        <v>41618</v>
      </c>
    </row>
    <row r="20" spans="1:28" s="6" customFormat="1" ht="16.5" customHeight="1">
      <c r="A20" s="19"/>
      <c r="B20" s="20" t="s">
        <v>2</v>
      </c>
      <c r="C20" s="23">
        <v>5209</v>
      </c>
      <c r="D20" s="43">
        <v>587578</v>
      </c>
      <c r="E20" s="38">
        <v>3751</v>
      </c>
      <c r="F20" s="22">
        <v>231511</v>
      </c>
      <c r="G20" s="23">
        <v>1274</v>
      </c>
      <c r="H20" s="24">
        <v>285641</v>
      </c>
      <c r="I20" s="21">
        <v>0</v>
      </c>
      <c r="J20" s="24">
        <v>0</v>
      </c>
      <c r="K20" s="23">
        <v>5</v>
      </c>
      <c r="L20" s="24">
        <v>1080</v>
      </c>
      <c r="M20" s="21">
        <v>79</v>
      </c>
      <c r="N20" s="24">
        <v>23171</v>
      </c>
      <c r="O20" s="23">
        <v>0</v>
      </c>
      <c r="P20" s="24">
        <v>0</v>
      </c>
      <c r="Q20" s="46">
        <v>10</v>
      </c>
      <c r="R20" s="24">
        <v>20135</v>
      </c>
      <c r="S20" s="45">
        <v>0</v>
      </c>
      <c r="T20" s="24">
        <v>7</v>
      </c>
      <c r="U20" s="21">
        <v>0</v>
      </c>
      <c r="V20" s="24">
        <v>0</v>
      </c>
      <c r="W20" s="23">
        <v>0</v>
      </c>
      <c r="X20" s="24">
        <v>0</v>
      </c>
      <c r="Y20" s="21">
        <v>0</v>
      </c>
      <c r="Z20" s="24">
        <v>0</v>
      </c>
      <c r="AA20" s="23">
        <v>90</v>
      </c>
      <c r="AB20" s="24">
        <v>26033</v>
      </c>
    </row>
    <row r="21" spans="1:28" s="6" customFormat="1" ht="16.5" customHeight="1">
      <c r="A21" s="19"/>
      <c r="B21" s="20" t="s">
        <v>3</v>
      </c>
      <c r="C21" s="23">
        <v>6845</v>
      </c>
      <c r="D21" s="43">
        <v>695212</v>
      </c>
      <c r="E21" s="38">
        <v>5481</v>
      </c>
      <c r="F21" s="22">
        <v>288023</v>
      </c>
      <c r="G21" s="23">
        <v>1166</v>
      </c>
      <c r="H21" s="24">
        <v>326478</v>
      </c>
      <c r="I21" s="21">
        <v>0</v>
      </c>
      <c r="J21" s="24">
        <v>0</v>
      </c>
      <c r="K21" s="23">
        <v>6</v>
      </c>
      <c r="L21" s="24">
        <v>1272</v>
      </c>
      <c r="M21" s="21">
        <v>76</v>
      </c>
      <c r="N21" s="24">
        <v>21129</v>
      </c>
      <c r="O21" s="23">
        <v>0</v>
      </c>
      <c r="P21" s="24">
        <v>0</v>
      </c>
      <c r="Q21" s="21">
        <v>20</v>
      </c>
      <c r="R21" s="24">
        <v>32223</v>
      </c>
      <c r="S21" s="78">
        <v>0</v>
      </c>
      <c r="T21" s="24">
        <v>48</v>
      </c>
      <c r="U21" s="21">
        <v>0</v>
      </c>
      <c r="V21" s="24">
        <v>0</v>
      </c>
      <c r="W21" s="23">
        <v>0</v>
      </c>
      <c r="X21" s="24">
        <v>0</v>
      </c>
      <c r="Y21" s="21">
        <v>0</v>
      </c>
      <c r="Z21" s="24">
        <v>0</v>
      </c>
      <c r="AA21" s="23">
        <v>96</v>
      </c>
      <c r="AB21" s="24">
        <v>26039</v>
      </c>
    </row>
    <row r="22" spans="1:28" s="6" customFormat="1" ht="16.5" customHeight="1">
      <c r="A22" s="19"/>
      <c r="B22" s="20" t="s">
        <v>4</v>
      </c>
      <c r="C22" s="23">
        <v>2918</v>
      </c>
      <c r="D22" s="43">
        <v>425928</v>
      </c>
      <c r="E22" s="38">
        <v>1921</v>
      </c>
      <c r="F22" s="22">
        <v>102869</v>
      </c>
      <c r="G22" s="23">
        <v>676</v>
      </c>
      <c r="H22" s="24">
        <v>191522</v>
      </c>
      <c r="I22" s="68">
        <v>0</v>
      </c>
      <c r="J22" s="69">
        <v>0</v>
      </c>
      <c r="K22" s="23">
        <v>3</v>
      </c>
      <c r="L22" s="24">
        <v>612</v>
      </c>
      <c r="M22" s="21">
        <v>71</v>
      </c>
      <c r="N22" s="24">
        <v>19209</v>
      </c>
      <c r="O22" s="23">
        <v>4</v>
      </c>
      <c r="P22" s="24">
        <v>4583</v>
      </c>
      <c r="Q22" s="21">
        <v>14</v>
      </c>
      <c r="R22" s="24">
        <v>29220</v>
      </c>
      <c r="S22" s="78">
        <v>0</v>
      </c>
      <c r="T22" s="24">
        <v>9</v>
      </c>
      <c r="U22" s="68">
        <v>0</v>
      </c>
      <c r="V22" s="69">
        <v>0</v>
      </c>
      <c r="W22" s="70">
        <v>0</v>
      </c>
      <c r="X22" s="69">
        <v>0</v>
      </c>
      <c r="Y22" s="68">
        <v>0</v>
      </c>
      <c r="Z22" s="69">
        <v>0</v>
      </c>
      <c r="AA22" s="23">
        <v>229</v>
      </c>
      <c r="AB22" s="24">
        <v>77904</v>
      </c>
    </row>
    <row r="23" spans="1:28" s="6" customFormat="1" ht="16.5" customHeight="1">
      <c r="A23" s="19"/>
      <c r="B23" s="20" t="s">
        <v>5</v>
      </c>
      <c r="C23" s="23">
        <v>3210</v>
      </c>
      <c r="D23" s="43">
        <v>462608</v>
      </c>
      <c r="E23" s="38">
        <v>1954</v>
      </c>
      <c r="F23" s="22">
        <v>105842</v>
      </c>
      <c r="G23" s="23">
        <v>794</v>
      </c>
      <c r="H23" s="24">
        <v>160868</v>
      </c>
      <c r="I23" s="21">
        <v>0</v>
      </c>
      <c r="J23" s="24">
        <v>0</v>
      </c>
      <c r="K23" s="23">
        <v>3</v>
      </c>
      <c r="L23" s="24">
        <v>685</v>
      </c>
      <c r="M23" s="21">
        <v>75</v>
      </c>
      <c r="N23" s="24">
        <v>19273</v>
      </c>
      <c r="O23" s="23">
        <v>31</v>
      </c>
      <c r="P23" s="24">
        <v>16420</v>
      </c>
      <c r="Q23" s="21">
        <v>25</v>
      </c>
      <c r="R23" s="24">
        <v>48613</v>
      </c>
      <c r="S23" s="78">
        <v>0</v>
      </c>
      <c r="T23" s="24">
        <v>4</v>
      </c>
      <c r="U23" s="78">
        <v>0</v>
      </c>
      <c r="V23" s="24">
        <v>3</v>
      </c>
      <c r="W23" s="23">
        <v>15</v>
      </c>
      <c r="X23" s="24">
        <v>867</v>
      </c>
      <c r="Y23" s="21">
        <v>0</v>
      </c>
      <c r="Z23" s="24">
        <v>0</v>
      </c>
      <c r="AA23" s="23">
        <v>313</v>
      </c>
      <c r="AB23" s="24">
        <v>110033</v>
      </c>
    </row>
    <row r="24" spans="1:28" s="6" customFormat="1" ht="16.5" customHeight="1">
      <c r="A24" s="19"/>
      <c r="B24" s="20" t="s">
        <v>6</v>
      </c>
      <c r="C24" s="23">
        <v>778</v>
      </c>
      <c r="D24" s="43">
        <v>137508</v>
      </c>
      <c r="E24" s="38">
        <v>218</v>
      </c>
      <c r="F24" s="22">
        <v>12252</v>
      </c>
      <c r="G24" s="23">
        <v>62</v>
      </c>
      <c r="H24" s="24">
        <v>12353</v>
      </c>
      <c r="I24" s="21">
        <v>0</v>
      </c>
      <c r="J24" s="24">
        <v>0</v>
      </c>
      <c r="K24" s="53">
        <v>0</v>
      </c>
      <c r="L24" s="24">
        <v>47</v>
      </c>
      <c r="M24" s="21">
        <v>36</v>
      </c>
      <c r="N24" s="24">
        <v>8323</v>
      </c>
      <c r="O24" s="23">
        <v>32</v>
      </c>
      <c r="P24" s="24">
        <v>19291</v>
      </c>
      <c r="Q24" s="53">
        <v>8</v>
      </c>
      <c r="R24" s="24">
        <v>14211</v>
      </c>
      <c r="S24" s="45">
        <v>0</v>
      </c>
      <c r="T24" s="24">
        <v>3</v>
      </c>
      <c r="U24" s="21">
        <v>18</v>
      </c>
      <c r="V24" s="24">
        <v>1809</v>
      </c>
      <c r="W24" s="23">
        <v>181</v>
      </c>
      <c r="X24" s="24">
        <v>11351</v>
      </c>
      <c r="Y24" s="21">
        <v>0</v>
      </c>
      <c r="Z24" s="24">
        <v>0</v>
      </c>
      <c r="AA24" s="23">
        <v>223</v>
      </c>
      <c r="AB24" s="24">
        <v>57868</v>
      </c>
    </row>
    <row r="25" spans="1:28" s="6" customFormat="1" ht="16.5" customHeight="1">
      <c r="A25" s="19"/>
      <c r="B25" s="20" t="s">
        <v>7</v>
      </c>
      <c r="C25" s="23">
        <v>1184</v>
      </c>
      <c r="D25" s="43">
        <v>129586</v>
      </c>
      <c r="E25" s="38">
        <v>22</v>
      </c>
      <c r="F25" s="22">
        <v>1465</v>
      </c>
      <c r="G25" s="23">
        <v>32</v>
      </c>
      <c r="H25" s="24">
        <v>5191</v>
      </c>
      <c r="I25" s="21">
        <v>3</v>
      </c>
      <c r="J25" s="24">
        <v>14682</v>
      </c>
      <c r="K25" s="45">
        <v>0</v>
      </c>
      <c r="L25" s="24">
        <v>2</v>
      </c>
      <c r="M25" s="21">
        <v>23</v>
      </c>
      <c r="N25" s="24">
        <v>7512</v>
      </c>
      <c r="O25" s="23">
        <v>0</v>
      </c>
      <c r="P25" s="24">
        <v>0</v>
      </c>
      <c r="Q25" s="21">
        <v>4</v>
      </c>
      <c r="R25" s="24">
        <v>8486</v>
      </c>
      <c r="S25" s="80">
        <v>0</v>
      </c>
      <c r="T25" s="24">
        <v>1</v>
      </c>
      <c r="U25" s="80">
        <v>50</v>
      </c>
      <c r="V25" s="24">
        <v>2860</v>
      </c>
      <c r="W25" s="21">
        <v>903</v>
      </c>
      <c r="X25" s="24">
        <v>69954</v>
      </c>
      <c r="Y25" s="21">
        <v>0</v>
      </c>
      <c r="Z25" s="24">
        <v>0</v>
      </c>
      <c r="AA25" s="23">
        <v>147</v>
      </c>
      <c r="AB25" s="24">
        <v>19433</v>
      </c>
    </row>
    <row r="26" spans="1:28" s="6" customFormat="1" ht="16.5" customHeight="1">
      <c r="A26" s="19"/>
      <c r="B26" s="20" t="s">
        <v>8</v>
      </c>
      <c r="C26" s="23">
        <v>9727</v>
      </c>
      <c r="D26" s="43">
        <v>561793</v>
      </c>
      <c r="E26" s="38">
        <v>3</v>
      </c>
      <c r="F26" s="22">
        <v>194</v>
      </c>
      <c r="G26" s="23">
        <v>5</v>
      </c>
      <c r="H26" s="24">
        <v>726</v>
      </c>
      <c r="I26" s="21">
        <v>221</v>
      </c>
      <c r="J26" s="24">
        <v>91218</v>
      </c>
      <c r="K26" s="45">
        <v>0</v>
      </c>
      <c r="L26" s="24">
        <v>2</v>
      </c>
      <c r="M26" s="21">
        <v>7</v>
      </c>
      <c r="N26" s="24">
        <v>2714</v>
      </c>
      <c r="O26" s="23">
        <v>0</v>
      </c>
      <c r="P26" s="24">
        <v>0</v>
      </c>
      <c r="Q26" s="21">
        <v>5</v>
      </c>
      <c r="R26" s="24">
        <v>13166</v>
      </c>
      <c r="S26" s="21">
        <v>0</v>
      </c>
      <c r="T26" s="22">
        <v>0</v>
      </c>
      <c r="U26" s="68">
        <v>0</v>
      </c>
      <c r="V26" s="24">
        <v>0</v>
      </c>
      <c r="W26" s="23">
        <v>9363</v>
      </c>
      <c r="X26" s="24">
        <v>438017</v>
      </c>
      <c r="Y26" s="21">
        <v>0</v>
      </c>
      <c r="Z26" s="24">
        <v>0</v>
      </c>
      <c r="AA26" s="23">
        <v>123</v>
      </c>
      <c r="AB26" s="24">
        <v>15756</v>
      </c>
    </row>
    <row r="27" spans="1:28" s="6" customFormat="1" ht="16.5" customHeight="1">
      <c r="A27" s="19"/>
      <c r="B27" s="20" t="s">
        <v>9</v>
      </c>
      <c r="C27" s="23">
        <v>54563</v>
      </c>
      <c r="D27" s="43">
        <v>2726382</v>
      </c>
      <c r="E27" s="38">
        <v>11332</v>
      </c>
      <c r="F27" s="22">
        <v>406076</v>
      </c>
      <c r="G27" s="23">
        <v>867</v>
      </c>
      <c r="H27" s="24">
        <v>180920</v>
      </c>
      <c r="I27" s="21">
        <v>760</v>
      </c>
      <c r="J27" s="24">
        <v>291808</v>
      </c>
      <c r="K27" s="23">
        <v>5</v>
      </c>
      <c r="L27" s="24">
        <v>2119</v>
      </c>
      <c r="M27" s="21">
        <v>57</v>
      </c>
      <c r="N27" s="24">
        <v>11526</v>
      </c>
      <c r="O27" s="23">
        <v>10</v>
      </c>
      <c r="P27" s="24">
        <v>8229</v>
      </c>
      <c r="Q27" s="21">
        <v>13</v>
      </c>
      <c r="R27" s="24">
        <v>26469</v>
      </c>
      <c r="S27" s="21">
        <v>0</v>
      </c>
      <c r="T27" s="22">
        <v>0</v>
      </c>
      <c r="U27" s="45">
        <v>2071</v>
      </c>
      <c r="V27" s="24">
        <v>80040</v>
      </c>
      <c r="W27" s="23">
        <v>38823</v>
      </c>
      <c r="X27" s="24">
        <v>1549379</v>
      </c>
      <c r="Y27" s="21">
        <v>0</v>
      </c>
      <c r="Z27" s="24">
        <v>0</v>
      </c>
      <c r="AA27" s="23">
        <v>625</v>
      </c>
      <c r="AB27" s="24">
        <v>169816</v>
      </c>
    </row>
    <row r="28" spans="1:28" s="6" customFormat="1" ht="16.5" customHeight="1">
      <c r="A28" s="19"/>
      <c r="B28" s="20" t="s">
        <v>10</v>
      </c>
      <c r="C28" s="23">
        <v>42409</v>
      </c>
      <c r="D28" s="43">
        <v>2588486</v>
      </c>
      <c r="E28" s="38">
        <v>7005</v>
      </c>
      <c r="F28" s="22">
        <v>289763</v>
      </c>
      <c r="G28" s="23">
        <v>571</v>
      </c>
      <c r="H28" s="24">
        <v>178093</v>
      </c>
      <c r="I28" s="21">
        <v>1160</v>
      </c>
      <c r="J28" s="24">
        <v>321561</v>
      </c>
      <c r="K28" s="23">
        <v>5</v>
      </c>
      <c r="L28" s="24">
        <v>2481</v>
      </c>
      <c r="M28" s="21">
        <v>61</v>
      </c>
      <c r="N28" s="24">
        <v>12086</v>
      </c>
      <c r="O28" s="23">
        <v>3</v>
      </c>
      <c r="P28" s="24">
        <v>2577</v>
      </c>
      <c r="Q28" s="21">
        <v>10</v>
      </c>
      <c r="R28" s="24">
        <v>17393</v>
      </c>
      <c r="S28" s="80">
        <v>0</v>
      </c>
      <c r="T28" s="24">
        <v>2</v>
      </c>
      <c r="U28" s="46">
        <v>5514</v>
      </c>
      <c r="V28" s="24">
        <v>574854</v>
      </c>
      <c r="W28" s="23">
        <v>27472</v>
      </c>
      <c r="X28" s="24">
        <v>1096019</v>
      </c>
      <c r="Y28" s="21">
        <v>8</v>
      </c>
      <c r="Z28" s="24">
        <v>14270</v>
      </c>
      <c r="AA28" s="23">
        <v>600</v>
      </c>
      <c r="AB28" s="24">
        <v>79387</v>
      </c>
    </row>
    <row r="29" spans="1:28" s="6" customFormat="1" ht="16.5" customHeight="1">
      <c r="A29" s="19"/>
      <c r="B29" s="20" t="s">
        <v>11</v>
      </c>
      <c r="C29" s="23">
        <v>4652</v>
      </c>
      <c r="D29" s="43">
        <v>788292</v>
      </c>
      <c r="E29" s="38">
        <v>2817</v>
      </c>
      <c r="F29" s="22">
        <v>180289</v>
      </c>
      <c r="G29" s="23">
        <v>661</v>
      </c>
      <c r="H29" s="24">
        <v>212835</v>
      </c>
      <c r="I29" s="21">
        <v>595</v>
      </c>
      <c r="J29" s="24">
        <v>107146</v>
      </c>
      <c r="K29" s="23">
        <v>7</v>
      </c>
      <c r="L29" s="24">
        <v>3155</v>
      </c>
      <c r="M29" s="21">
        <v>69</v>
      </c>
      <c r="N29" s="24">
        <v>37388</v>
      </c>
      <c r="O29" s="78">
        <v>0</v>
      </c>
      <c r="P29" s="24">
        <v>8</v>
      </c>
      <c r="Q29" s="21">
        <v>8</v>
      </c>
      <c r="R29" s="24">
        <v>16241</v>
      </c>
      <c r="S29" s="78">
        <v>0</v>
      </c>
      <c r="T29" s="24">
        <v>12</v>
      </c>
      <c r="U29" s="78">
        <v>0</v>
      </c>
      <c r="V29" s="24">
        <v>1</v>
      </c>
      <c r="W29" s="23">
        <v>35</v>
      </c>
      <c r="X29" s="24">
        <v>5322</v>
      </c>
      <c r="Y29" s="21">
        <v>92</v>
      </c>
      <c r="Z29" s="24">
        <v>190447</v>
      </c>
      <c r="AA29" s="23">
        <v>368</v>
      </c>
      <c r="AB29" s="24">
        <v>35448</v>
      </c>
    </row>
    <row r="30" spans="1:28" s="6" customFormat="1" ht="16.5" customHeight="1">
      <c r="A30" s="25"/>
      <c r="B30" s="26" t="s">
        <v>12</v>
      </c>
      <c r="C30" s="31">
        <v>3387</v>
      </c>
      <c r="D30" s="44">
        <v>553064</v>
      </c>
      <c r="E30" s="39">
        <v>2626</v>
      </c>
      <c r="F30" s="34">
        <v>246186</v>
      </c>
      <c r="G30" s="31">
        <v>612</v>
      </c>
      <c r="H30" s="32">
        <v>192697</v>
      </c>
      <c r="I30" s="33">
        <v>0</v>
      </c>
      <c r="J30" s="32">
        <v>0</v>
      </c>
      <c r="K30" s="31">
        <v>5</v>
      </c>
      <c r="L30" s="32">
        <v>1303</v>
      </c>
      <c r="M30" s="33">
        <v>71</v>
      </c>
      <c r="N30" s="32">
        <v>49026</v>
      </c>
      <c r="O30" s="31">
        <v>0</v>
      </c>
      <c r="P30" s="32">
        <v>0</v>
      </c>
      <c r="Q30" s="33">
        <v>5</v>
      </c>
      <c r="R30" s="32">
        <v>11698</v>
      </c>
      <c r="S30" s="79">
        <v>0</v>
      </c>
      <c r="T30" s="32">
        <v>32</v>
      </c>
      <c r="U30" s="33">
        <v>0</v>
      </c>
      <c r="V30" s="32">
        <v>0</v>
      </c>
      <c r="W30" s="33">
        <v>0</v>
      </c>
      <c r="X30" s="32">
        <v>0</v>
      </c>
      <c r="Y30" s="33">
        <v>0</v>
      </c>
      <c r="Z30" s="32">
        <v>0</v>
      </c>
      <c r="AA30" s="31">
        <v>68</v>
      </c>
      <c r="AB30" s="32">
        <v>52122</v>
      </c>
    </row>
    <row r="31" spans="1:28" s="6" customFormat="1" ht="16.5" customHeight="1">
      <c r="A31" s="19" t="s">
        <v>72</v>
      </c>
      <c r="B31" s="20" t="s">
        <v>1</v>
      </c>
      <c r="C31" s="23">
        <v>3710</v>
      </c>
      <c r="D31" s="43">
        <v>491976</v>
      </c>
      <c r="E31" s="38">
        <v>2933</v>
      </c>
      <c r="F31" s="22">
        <v>273573</v>
      </c>
      <c r="G31" s="23">
        <v>662</v>
      </c>
      <c r="H31" s="24">
        <v>151614</v>
      </c>
      <c r="I31" s="21">
        <v>0</v>
      </c>
      <c r="J31" s="24">
        <v>0</v>
      </c>
      <c r="K31" s="23">
        <v>5</v>
      </c>
      <c r="L31" s="24">
        <v>1306</v>
      </c>
      <c r="M31" s="21">
        <v>41</v>
      </c>
      <c r="N31" s="24">
        <v>11559</v>
      </c>
      <c r="O31" s="23">
        <v>0</v>
      </c>
      <c r="P31" s="24">
        <v>0</v>
      </c>
      <c r="Q31" s="46">
        <v>4</v>
      </c>
      <c r="R31" s="24">
        <v>8765</v>
      </c>
      <c r="S31" s="45">
        <v>0</v>
      </c>
      <c r="T31" s="24">
        <v>20</v>
      </c>
      <c r="U31" s="21">
        <v>0</v>
      </c>
      <c r="V31" s="24">
        <v>0</v>
      </c>
      <c r="W31" s="21">
        <v>0</v>
      </c>
      <c r="X31" s="24">
        <v>0</v>
      </c>
      <c r="Y31" s="21">
        <v>0</v>
      </c>
      <c r="Z31" s="24">
        <v>0</v>
      </c>
      <c r="AA31" s="23">
        <v>65</v>
      </c>
      <c r="AB31" s="24">
        <v>45139</v>
      </c>
    </row>
    <row r="32" spans="1:28" s="6" customFormat="1" ht="16.5" customHeight="1">
      <c r="A32" s="19"/>
      <c r="B32" s="20" t="s">
        <v>2</v>
      </c>
      <c r="C32" s="23">
        <v>3452</v>
      </c>
      <c r="D32" s="43">
        <v>421046</v>
      </c>
      <c r="E32" s="38">
        <v>2456</v>
      </c>
      <c r="F32" s="22">
        <v>169809</v>
      </c>
      <c r="G32" s="23">
        <v>767</v>
      </c>
      <c r="H32" s="24">
        <v>181531</v>
      </c>
      <c r="I32" s="21">
        <v>0</v>
      </c>
      <c r="J32" s="24">
        <v>0</v>
      </c>
      <c r="K32" s="23">
        <v>4</v>
      </c>
      <c r="L32" s="24">
        <v>1339</v>
      </c>
      <c r="M32" s="21">
        <v>124</v>
      </c>
      <c r="N32" s="24">
        <v>27169</v>
      </c>
      <c r="O32" s="23">
        <v>0</v>
      </c>
      <c r="P32" s="24">
        <v>0</v>
      </c>
      <c r="Q32" s="46">
        <v>5</v>
      </c>
      <c r="R32" s="24">
        <v>9959</v>
      </c>
      <c r="S32" s="45">
        <v>1</v>
      </c>
      <c r="T32" s="24">
        <v>128</v>
      </c>
      <c r="U32" s="21">
        <v>0</v>
      </c>
      <c r="V32" s="24">
        <v>0</v>
      </c>
      <c r="W32" s="23">
        <v>0</v>
      </c>
      <c r="X32" s="24">
        <v>0</v>
      </c>
      <c r="Y32" s="21">
        <v>0</v>
      </c>
      <c r="Z32" s="24">
        <v>0</v>
      </c>
      <c r="AA32" s="23">
        <v>95</v>
      </c>
      <c r="AB32" s="24">
        <v>31111</v>
      </c>
    </row>
    <row r="33" spans="1:28" s="6" customFormat="1" ht="16.5" customHeight="1">
      <c r="A33" s="19"/>
      <c r="B33" s="20" t="s">
        <v>3</v>
      </c>
      <c r="C33" s="23">
        <v>3637</v>
      </c>
      <c r="D33" s="43">
        <v>367023</v>
      </c>
      <c r="E33" s="38">
        <v>3061</v>
      </c>
      <c r="F33" s="22">
        <v>184703</v>
      </c>
      <c r="G33" s="23">
        <v>424</v>
      </c>
      <c r="H33" s="24">
        <v>126316</v>
      </c>
      <c r="I33" s="21">
        <v>0</v>
      </c>
      <c r="J33" s="24">
        <v>0</v>
      </c>
      <c r="K33" s="23">
        <v>6</v>
      </c>
      <c r="L33" s="24">
        <v>1618</v>
      </c>
      <c r="M33" s="21">
        <v>50</v>
      </c>
      <c r="N33" s="24">
        <v>14737</v>
      </c>
      <c r="O33" s="23">
        <v>0</v>
      </c>
      <c r="P33" s="24">
        <v>0</v>
      </c>
      <c r="Q33" s="21">
        <v>8</v>
      </c>
      <c r="R33" s="24">
        <v>14440</v>
      </c>
      <c r="S33" s="78">
        <v>4</v>
      </c>
      <c r="T33" s="24">
        <v>462</v>
      </c>
      <c r="U33" s="21">
        <v>0</v>
      </c>
      <c r="V33" s="24">
        <v>0</v>
      </c>
      <c r="W33" s="23">
        <v>0</v>
      </c>
      <c r="X33" s="24">
        <v>0</v>
      </c>
      <c r="Y33" s="21">
        <v>0</v>
      </c>
      <c r="Z33" s="24">
        <v>0</v>
      </c>
      <c r="AA33" s="23">
        <v>84</v>
      </c>
      <c r="AB33" s="24">
        <v>24747</v>
      </c>
    </row>
    <row r="34" spans="1:28" s="6" customFormat="1" ht="16.5" customHeight="1">
      <c r="A34" s="19"/>
      <c r="B34" s="20" t="s">
        <v>4</v>
      </c>
      <c r="C34" s="23">
        <v>1874</v>
      </c>
      <c r="D34" s="43">
        <v>311830</v>
      </c>
      <c r="E34" s="38">
        <v>1048</v>
      </c>
      <c r="F34" s="22">
        <v>76568</v>
      </c>
      <c r="G34" s="23">
        <v>450</v>
      </c>
      <c r="H34" s="24">
        <v>92806</v>
      </c>
      <c r="I34" s="68">
        <v>0</v>
      </c>
      <c r="J34" s="69">
        <v>0</v>
      </c>
      <c r="K34" s="23">
        <v>6</v>
      </c>
      <c r="L34" s="24">
        <v>1269</v>
      </c>
      <c r="M34" s="21">
        <v>73</v>
      </c>
      <c r="N34" s="24">
        <v>20525</v>
      </c>
      <c r="O34" s="23">
        <v>1</v>
      </c>
      <c r="P34" s="24">
        <v>1648</v>
      </c>
      <c r="Q34" s="21">
        <v>18</v>
      </c>
      <c r="R34" s="24">
        <v>31314</v>
      </c>
      <c r="S34" s="78">
        <v>4</v>
      </c>
      <c r="T34" s="24">
        <v>303</v>
      </c>
      <c r="U34" s="68">
        <v>0</v>
      </c>
      <c r="V34" s="69">
        <v>0</v>
      </c>
      <c r="W34" s="70">
        <v>0</v>
      </c>
      <c r="X34" s="69">
        <v>0</v>
      </c>
      <c r="Y34" s="68">
        <v>0</v>
      </c>
      <c r="Z34" s="69">
        <v>0</v>
      </c>
      <c r="AA34" s="23">
        <v>274</v>
      </c>
      <c r="AB34" s="24">
        <v>87397</v>
      </c>
    </row>
    <row r="35" spans="1:28" s="6" customFormat="1" ht="16.5" customHeight="1">
      <c r="A35" s="19"/>
      <c r="B35" s="20" t="s">
        <v>5</v>
      </c>
      <c r="C35" s="23">
        <v>5110</v>
      </c>
      <c r="D35" s="43">
        <v>530346</v>
      </c>
      <c r="E35" s="38">
        <v>3853</v>
      </c>
      <c r="F35" s="22">
        <v>220312</v>
      </c>
      <c r="G35" s="23">
        <v>707</v>
      </c>
      <c r="H35" s="24">
        <v>125289</v>
      </c>
      <c r="I35" s="21">
        <v>0</v>
      </c>
      <c r="J35" s="24">
        <v>0</v>
      </c>
      <c r="K35" s="23">
        <v>10</v>
      </c>
      <c r="L35" s="24">
        <v>1931</v>
      </c>
      <c r="M35" s="21">
        <v>93</v>
      </c>
      <c r="N35" s="24">
        <v>20405</v>
      </c>
      <c r="O35" s="23">
        <v>38</v>
      </c>
      <c r="P35" s="24">
        <v>25563</v>
      </c>
      <c r="Q35" s="21">
        <v>14</v>
      </c>
      <c r="R35" s="24">
        <v>22107</v>
      </c>
      <c r="S35" s="78">
        <v>2</v>
      </c>
      <c r="T35" s="24">
        <v>128</v>
      </c>
      <c r="U35" s="68">
        <v>0</v>
      </c>
      <c r="V35" s="24">
        <v>0</v>
      </c>
      <c r="W35" s="23">
        <v>21</v>
      </c>
      <c r="X35" s="24">
        <v>1396</v>
      </c>
      <c r="Y35" s="21">
        <v>0</v>
      </c>
      <c r="Z35" s="24">
        <v>0</v>
      </c>
      <c r="AA35" s="23">
        <v>372</v>
      </c>
      <c r="AB35" s="24">
        <v>113215</v>
      </c>
    </row>
    <row r="36" spans="1:28" s="6" customFormat="1" ht="16.5" customHeight="1">
      <c r="A36" s="19"/>
      <c r="B36" s="20" t="s">
        <v>6</v>
      </c>
      <c r="C36" s="23">
        <v>1296</v>
      </c>
      <c r="D36" s="43">
        <v>154842</v>
      </c>
      <c r="E36" s="38">
        <v>178</v>
      </c>
      <c r="F36" s="22">
        <v>10765</v>
      </c>
      <c r="G36" s="23">
        <v>37</v>
      </c>
      <c r="H36" s="24">
        <v>7092</v>
      </c>
      <c r="I36" s="21">
        <v>0</v>
      </c>
      <c r="J36" s="24">
        <v>0</v>
      </c>
      <c r="K36" s="53">
        <v>0</v>
      </c>
      <c r="L36" s="24">
        <v>10</v>
      </c>
      <c r="M36" s="21">
        <v>63</v>
      </c>
      <c r="N36" s="24">
        <v>7330</v>
      </c>
      <c r="O36" s="23">
        <v>44</v>
      </c>
      <c r="P36" s="24">
        <v>18438</v>
      </c>
      <c r="Q36" s="53">
        <v>3</v>
      </c>
      <c r="R36" s="24">
        <v>3849</v>
      </c>
      <c r="S36" s="68">
        <v>0</v>
      </c>
      <c r="T36" s="24">
        <v>0</v>
      </c>
      <c r="U36" s="21">
        <v>5</v>
      </c>
      <c r="V36" s="24">
        <v>204</v>
      </c>
      <c r="W36" s="23">
        <v>650</v>
      </c>
      <c r="X36" s="24">
        <v>32120</v>
      </c>
      <c r="Y36" s="21">
        <v>0</v>
      </c>
      <c r="Z36" s="24">
        <v>0</v>
      </c>
      <c r="AA36" s="23">
        <v>316</v>
      </c>
      <c r="AB36" s="24">
        <v>75034</v>
      </c>
    </row>
    <row r="37" spans="1:28" s="6" customFormat="1" ht="16.5" customHeight="1">
      <c r="A37" s="19"/>
      <c r="B37" s="20" t="s">
        <v>7</v>
      </c>
      <c r="C37" s="23">
        <v>3602</v>
      </c>
      <c r="D37" s="43">
        <v>159325</v>
      </c>
      <c r="E37" s="38">
        <v>13</v>
      </c>
      <c r="F37" s="22">
        <v>595</v>
      </c>
      <c r="G37" s="23">
        <v>16</v>
      </c>
      <c r="H37" s="24">
        <v>2161</v>
      </c>
      <c r="I37" s="21">
        <v>2</v>
      </c>
      <c r="J37" s="24">
        <v>6151</v>
      </c>
      <c r="K37" s="45">
        <v>0</v>
      </c>
      <c r="L37" s="24">
        <v>1</v>
      </c>
      <c r="M37" s="21">
        <v>22</v>
      </c>
      <c r="N37" s="24">
        <v>5441</v>
      </c>
      <c r="O37" s="45">
        <v>0</v>
      </c>
      <c r="P37" s="24">
        <v>101</v>
      </c>
      <c r="Q37" s="21">
        <v>10</v>
      </c>
      <c r="R37" s="24">
        <v>17503</v>
      </c>
      <c r="S37" s="80">
        <v>0</v>
      </c>
      <c r="T37" s="24">
        <v>4</v>
      </c>
      <c r="U37" s="80">
        <v>0</v>
      </c>
      <c r="V37" s="24">
        <v>2</v>
      </c>
      <c r="W37" s="21">
        <v>3345</v>
      </c>
      <c r="X37" s="24">
        <v>110264</v>
      </c>
      <c r="Y37" s="21">
        <v>0</v>
      </c>
      <c r="Z37" s="24">
        <v>0</v>
      </c>
      <c r="AA37" s="23">
        <v>194</v>
      </c>
      <c r="AB37" s="24">
        <v>17102</v>
      </c>
    </row>
    <row r="38" spans="1:28" s="6" customFormat="1" ht="16.5" customHeight="1">
      <c r="A38" s="19"/>
      <c r="B38" s="20" t="s">
        <v>8</v>
      </c>
      <c r="C38" s="23">
        <v>8720</v>
      </c>
      <c r="D38" s="43">
        <v>348629</v>
      </c>
      <c r="E38" s="38">
        <v>4</v>
      </c>
      <c r="F38" s="22">
        <v>183</v>
      </c>
      <c r="G38" s="23">
        <v>7</v>
      </c>
      <c r="H38" s="24">
        <v>908</v>
      </c>
      <c r="I38" s="21">
        <v>535</v>
      </c>
      <c r="J38" s="24">
        <v>110425</v>
      </c>
      <c r="K38" s="45">
        <v>0</v>
      </c>
      <c r="L38" s="24">
        <v>1</v>
      </c>
      <c r="M38" s="21">
        <v>3</v>
      </c>
      <c r="N38" s="24">
        <v>894</v>
      </c>
      <c r="O38" s="45">
        <v>0</v>
      </c>
      <c r="P38" s="24">
        <v>62</v>
      </c>
      <c r="Q38" s="21">
        <v>6</v>
      </c>
      <c r="R38" s="24">
        <v>12471</v>
      </c>
      <c r="S38" s="80">
        <v>0</v>
      </c>
      <c r="T38" s="22">
        <v>1</v>
      </c>
      <c r="U38" s="68">
        <v>0</v>
      </c>
      <c r="V38" s="24">
        <v>0</v>
      </c>
      <c r="W38" s="23">
        <v>8063</v>
      </c>
      <c r="X38" s="24">
        <v>215138</v>
      </c>
      <c r="Y38" s="21">
        <v>0</v>
      </c>
      <c r="Z38" s="24">
        <v>0</v>
      </c>
      <c r="AA38" s="23">
        <v>102</v>
      </c>
      <c r="AB38" s="24">
        <v>8546</v>
      </c>
    </row>
    <row r="39" spans="1:28" s="6" customFormat="1" ht="16.5" customHeight="1">
      <c r="A39" s="19"/>
      <c r="B39" s="20" t="s">
        <v>9</v>
      </c>
      <c r="C39" s="23">
        <v>44418</v>
      </c>
      <c r="D39" s="43">
        <v>2096959</v>
      </c>
      <c r="E39" s="38">
        <v>7692</v>
      </c>
      <c r="F39" s="22">
        <v>310610</v>
      </c>
      <c r="G39" s="23">
        <v>657</v>
      </c>
      <c r="H39" s="24">
        <v>128799</v>
      </c>
      <c r="I39" s="21">
        <v>1799</v>
      </c>
      <c r="J39" s="24">
        <v>375377</v>
      </c>
      <c r="K39" s="23">
        <v>59</v>
      </c>
      <c r="L39" s="24">
        <v>32461</v>
      </c>
      <c r="M39" s="21">
        <v>58</v>
      </c>
      <c r="N39" s="24">
        <v>13103</v>
      </c>
      <c r="O39" s="23">
        <v>13</v>
      </c>
      <c r="P39" s="24">
        <v>7698</v>
      </c>
      <c r="Q39" s="21">
        <v>12</v>
      </c>
      <c r="R39" s="24">
        <v>21717</v>
      </c>
      <c r="S39" s="80">
        <v>0</v>
      </c>
      <c r="T39" s="22">
        <v>31</v>
      </c>
      <c r="U39" s="68">
        <v>0</v>
      </c>
      <c r="V39" s="24">
        <v>0</v>
      </c>
      <c r="W39" s="23">
        <v>33132</v>
      </c>
      <c r="X39" s="24">
        <v>1066542</v>
      </c>
      <c r="Y39" s="21">
        <v>0</v>
      </c>
      <c r="Z39" s="24">
        <v>0</v>
      </c>
      <c r="AA39" s="23">
        <v>996</v>
      </c>
      <c r="AB39" s="24">
        <v>140621</v>
      </c>
    </row>
    <row r="40" spans="1:28" s="6" customFormat="1" ht="16.5" customHeight="1">
      <c r="A40" s="19"/>
      <c r="B40" s="20" t="s">
        <v>10</v>
      </c>
      <c r="C40" s="23">
        <v>38644</v>
      </c>
      <c r="D40" s="43">
        <v>2175564</v>
      </c>
      <c r="E40" s="38">
        <v>5900</v>
      </c>
      <c r="F40" s="22">
        <v>321230</v>
      </c>
      <c r="G40" s="23">
        <v>481</v>
      </c>
      <c r="H40" s="24">
        <v>106121</v>
      </c>
      <c r="I40" s="21">
        <v>2850</v>
      </c>
      <c r="J40" s="24">
        <v>379569</v>
      </c>
      <c r="K40" s="23">
        <v>13</v>
      </c>
      <c r="L40" s="24">
        <v>5716</v>
      </c>
      <c r="M40" s="21">
        <v>53</v>
      </c>
      <c r="N40" s="24">
        <v>13732</v>
      </c>
      <c r="O40" s="23">
        <v>6</v>
      </c>
      <c r="P40" s="24">
        <v>4126</v>
      </c>
      <c r="Q40" s="21">
        <v>7</v>
      </c>
      <c r="R40" s="24">
        <v>11632</v>
      </c>
      <c r="S40" s="80">
        <v>0</v>
      </c>
      <c r="T40" s="24">
        <v>106</v>
      </c>
      <c r="U40" s="46">
        <v>1355</v>
      </c>
      <c r="V40" s="24">
        <v>209459</v>
      </c>
      <c r="W40" s="23">
        <v>27173</v>
      </c>
      <c r="X40" s="24">
        <v>1017885</v>
      </c>
      <c r="Y40" s="21">
        <v>0</v>
      </c>
      <c r="Z40" s="24">
        <v>0</v>
      </c>
      <c r="AA40" s="23">
        <v>806</v>
      </c>
      <c r="AB40" s="24">
        <v>105988</v>
      </c>
    </row>
    <row r="41" spans="1:28" s="6" customFormat="1" ht="16.5" customHeight="1">
      <c r="A41" s="19"/>
      <c r="B41" s="20" t="s">
        <v>11</v>
      </c>
      <c r="C41" s="23">
        <v>4858</v>
      </c>
      <c r="D41" s="43">
        <v>678003</v>
      </c>
      <c r="E41" s="38">
        <v>2655</v>
      </c>
      <c r="F41" s="22">
        <v>232012</v>
      </c>
      <c r="G41" s="23">
        <v>640</v>
      </c>
      <c r="H41" s="24">
        <v>152506</v>
      </c>
      <c r="I41" s="21">
        <v>205</v>
      </c>
      <c r="J41" s="24">
        <v>23511</v>
      </c>
      <c r="K41" s="23">
        <v>9</v>
      </c>
      <c r="L41" s="24">
        <v>3512</v>
      </c>
      <c r="M41" s="21">
        <v>62</v>
      </c>
      <c r="N41" s="24">
        <v>31031</v>
      </c>
      <c r="O41" s="78">
        <v>0</v>
      </c>
      <c r="P41" s="24">
        <v>35</v>
      </c>
      <c r="Q41" s="21">
        <v>3</v>
      </c>
      <c r="R41" s="24">
        <v>6514</v>
      </c>
      <c r="S41" s="78">
        <v>1</v>
      </c>
      <c r="T41" s="24">
        <v>309</v>
      </c>
      <c r="U41" s="78">
        <v>0</v>
      </c>
      <c r="V41" s="24">
        <v>4</v>
      </c>
      <c r="W41" s="23">
        <v>312</v>
      </c>
      <c r="X41" s="24">
        <v>31240</v>
      </c>
      <c r="Y41" s="21">
        <v>88</v>
      </c>
      <c r="Z41" s="24">
        <v>116298</v>
      </c>
      <c r="AA41" s="23">
        <v>883</v>
      </c>
      <c r="AB41" s="24">
        <v>81031</v>
      </c>
    </row>
    <row r="42" spans="1:28" s="6" customFormat="1" ht="16.5" customHeight="1">
      <c r="A42" s="25"/>
      <c r="B42" s="26" t="s">
        <v>12</v>
      </c>
      <c r="C42" s="31">
        <v>2557</v>
      </c>
      <c r="D42" s="44">
        <v>503288</v>
      </c>
      <c r="E42" s="39">
        <v>1721</v>
      </c>
      <c r="F42" s="34">
        <v>221320</v>
      </c>
      <c r="G42" s="31">
        <v>410</v>
      </c>
      <c r="H42" s="32">
        <v>130088</v>
      </c>
      <c r="I42" s="33">
        <v>0</v>
      </c>
      <c r="J42" s="32">
        <v>0</v>
      </c>
      <c r="K42" s="31">
        <v>5</v>
      </c>
      <c r="L42" s="32">
        <v>1109</v>
      </c>
      <c r="M42" s="33">
        <v>57</v>
      </c>
      <c r="N42" s="32">
        <v>40995</v>
      </c>
      <c r="O42" s="31">
        <v>0</v>
      </c>
      <c r="P42" s="32">
        <v>0</v>
      </c>
      <c r="Q42" s="33">
        <v>2</v>
      </c>
      <c r="R42" s="32">
        <v>7547</v>
      </c>
      <c r="S42" s="79">
        <v>0</v>
      </c>
      <c r="T42" s="32">
        <v>87</v>
      </c>
      <c r="U42" s="33">
        <v>0</v>
      </c>
      <c r="V42" s="32">
        <v>0</v>
      </c>
      <c r="W42" s="33">
        <v>0</v>
      </c>
      <c r="X42" s="32">
        <v>0</v>
      </c>
      <c r="Y42" s="33">
        <v>56</v>
      </c>
      <c r="Z42" s="32">
        <v>38134</v>
      </c>
      <c r="AA42" s="31">
        <v>306</v>
      </c>
      <c r="AB42" s="32">
        <v>64008</v>
      </c>
    </row>
    <row r="43" spans="1:4" s="74" customFormat="1" ht="16.5" customHeight="1" thickBot="1">
      <c r="A43" s="76" t="s">
        <v>57</v>
      </c>
      <c r="B43" s="77"/>
      <c r="C43" s="77"/>
      <c r="D43" s="77"/>
    </row>
    <row r="44" spans="1:28" s="72" customFormat="1" ht="13.5">
      <c r="A44" s="114" t="str">
        <f>"2018（平成30）年"&amp;COUNTA(E31:E42)&amp;"月迄"</f>
        <v>2018（平成30）年12月迄</v>
      </c>
      <c r="B44" s="115"/>
      <c r="C44" s="71">
        <f>SUM(C31:C42)</f>
        <v>121878</v>
      </c>
      <c r="D44" s="71">
        <f>SUM(D31:D42)+1</f>
        <v>8238832</v>
      </c>
      <c r="E44" s="71">
        <f>SUM(E31:E42)</f>
        <v>31514</v>
      </c>
      <c r="F44" s="71">
        <f>SUM(F31:F42)</f>
        <v>2021680</v>
      </c>
      <c r="G44" s="71">
        <f>SUM(G31:G42)</f>
        <v>5258</v>
      </c>
      <c r="H44" s="71">
        <f>SUM(H31:H42)-1</f>
        <v>1205230</v>
      </c>
      <c r="I44" s="71">
        <f>SUM(I31:I42)-2</f>
        <v>5389</v>
      </c>
      <c r="J44" s="71">
        <f>SUM(J31:J42)+1</f>
        <v>895034</v>
      </c>
      <c r="K44" s="71">
        <f>SUM(K31:K42)</f>
        <v>117</v>
      </c>
      <c r="L44" s="71">
        <f>SUM(L31:L42)-1</f>
        <v>50272</v>
      </c>
      <c r="M44" s="71">
        <f>SUM(M31:M42)-1</f>
        <v>698</v>
      </c>
      <c r="N44" s="71">
        <f>SUM(N31:N42)</f>
        <v>206921</v>
      </c>
      <c r="O44" s="71">
        <f>SUM(O31:O42)+1</f>
        <v>103</v>
      </c>
      <c r="P44" s="71">
        <f>SUM(P31:P42)-1</f>
        <v>57670</v>
      </c>
      <c r="Q44" s="71">
        <f>SUM(Q31:Q42)</f>
        <v>92</v>
      </c>
      <c r="R44" s="71">
        <f>SUM(R31:R42)-1</f>
        <v>167817</v>
      </c>
      <c r="S44" s="71">
        <f aca="true" t="shared" si="0" ref="S44:Y44">SUM(S31:S42)</f>
        <v>12</v>
      </c>
      <c r="T44" s="71">
        <f>SUM(T31:T42)+1</f>
        <v>1580</v>
      </c>
      <c r="U44" s="71">
        <f t="shared" si="0"/>
        <v>1360</v>
      </c>
      <c r="V44" s="71">
        <f t="shared" si="0"/>
        <v>209669</v>
      </c>
      <c r="W44" s="71">
        <f t="shared" si="0"/>
        <v>72696</v>
      </c>
      <c r="X44" s="71">
        <f t="shared" si="0"/>
        <v>2474585</v>
      </c>
      <c r="Y44" s="71">
        <f t="shared" si="0"/>
        <v>144</v>
      </c>
      <c r="Z44" s="71">
        <f>SUM(Z31:Z42)+1</f>
        <v>154433</v>
      </c>
      <c r="AA44" s="71">
        <f>SUM(AA31:AA42)+2</f>
        <v>4495</v>
      </c>
      <c r="AB44" s="88">
        <f>SUM(AB31:AB42)+2</f>
        <v>793941</v>
      </c>
    </row>
    <row r="45" spans="1:28" s="74" customFormat="1" ht="13.5" customHeight="1">
      <c r="A45" s="116" t="str">
        <f>"前年"&amp;COUNTA(E31:E42)&amp;"月迄"</f>
        <v>前年12月迄</v>
      </c>
      <c r="B45" s="117"/>
      <c r="C45" s="73">
        <f ca="1">SUM(C19:(INDIRECT("c"&amp;COUNT($J31:$J42)+18)))-1</f>
        <v>139678</v>
      </c>
      <c r="D45" s="73">
        <f ca="1">SUM(D19:(INDIRECT("d"&amp;COUNT($J31:$J42)+18)))</f>
        <v>10203667</v>
      </c>
      <c r="E45" s="73">
        <f ca="1">SUM(E19:(INDIRECT("e"&amp;COUNT($J31:$J42)+18)))</f>
        <v>41087</v>
      </c>
      <c r="F45" s="73">
        <f ca="1">SUM(F19:(INDIRECT("f"&amp;COUNT($J31:$J42)+18)))-1</f>
        <v>2165141</v>
      </c>
      <c r="G45" s="73">
        <f ca="1">SUM(G19:(INDIRECT("g"&amp;COUNT($J31:$J42)+18)))+3</f>
        <v>7404</v>
      </c>
      <c r="H45" s="73">
        <f ca="1">SUM(H19:(INDIRECT("h"&amp;COUNT($J31:$J42)+18)))-1</f>
        <v>1918351</v>
      </c>
      <c r="I45" s="73">
        <f ca="1">SUM(I19:(INDIRECT("i"&amp;COUNT($J31:$J42)+18)))+1</f>
        <v>2740</v>
      </c>
      <c r="J45" s="73">
        <f ca="1">SUM(J19:(INDIRECT("j"&amp;COUNT($J31:$J42)+18)))</f>
        <v>826415</v>
      </c>
      <c r="K45" s="73">
        <f ca="1">SUM(K19:(INDIRECT("k"&amp;COUNT($J31:$J42)+18)))+1</f>
        <v>45</v>
      </c>
      <c r="L45" s="73">
        <f ca="1">SUM(L19:(INDIRECT("l"&amp;COUNT($J31:$J42)+18)))</f>
        <v>13887</v>
      </c>
      <c r="M45" s="73">
        <f ca="1">SUM(M19:(INDIRECT("m"&amp;COUNT($J31:$J42)+18)))+2</f>
        <v>665</v>
      </c>
      <c r="N45" s="73">
        <f ca="1">SUM(N19:(INDIRECT("n"&amp;COUNT($J31:$J42)+18)))-1</f>
        <v>225402</v>
      </c>
      <c r="O45" s="73">
        <f ca="1">SUM(O19:(INDIRECT("o"&amp;COUNT($J31:$J42)+18)))-1</f>
        <v>79</v>
      </c>
      <c r="P45" s="73">
        <f ca="1">SUM(P19:(INDIRECT("p"&amp;COUNT($J31:$J42)+18)))+1</f>
        <v>51109</v>
      </c>
      <c r="Q45" s="73">
        <f ca="1">SUM(Q19:(INDIRECT("q"&amp;COUNT($J31:$J42)+18)))-1</f>
        <v>131</v>
      </c>
      <c r="R45" s="73">
        <f ca="1">SUM(R19:(INDIRECT("r"&amp;COUNT($J31:$J42)+18)))</f>
        <v>256582</v>
      </c>
      <c r="S45" s="84">
        <f ca="1">SUM(S19:(INDIRECT("s"&amp;COUNT($J31:$J42)+18)))</f>
        <v>0</v>
      </c>
      <c r="T45" s="73">
        <f ca="1">SUM(T19:(INDIRECT("t"&amp;COUNT($J31:$J42)+18)))+1</f>
        <v>129</v>
      </c>
      <c r="U45" s="93">
        <f ca="1">SUM(U19:(INDIRECT("u"&amp;COUNT($J31:$J42)+18)))</f>
        <v>7653</v>
      </c>
      <c r="V45" s="73">
        <f ca="1">SUM(V19:(INDIRECT("v"&amp;COUNT($J31:$J42)+18)))-1</f>
        <v>659566</v>
      </c>
      <c r="W45" s="73">
        <f ca="1">SUM(W19:(INDIRECT("w"&amp;COUNT($J31:$J42)+18)))+1</f>
        <v>76793</v>
      </c>
      <c r="X45" s="73">
        <f ca="1">SUM(X19:(INDIRECT("x"&amp;COUNT($J31:$J42)+18)))</f>
        <v>3170909</v>
      </c>
      <c r="Y45" s="73">
        <f ca="1">SUM(Y19:(INDIRECT("y"&amp;COUNT($J31:$J42)+18)))</f>
        <v>100</v>
      </c>
      <c r="Z45" s="73">
        <f ca="1">SUM(Z19:(INDIRECT("z"&amp;COUNT($J31:$J42)+18)))</f>
        <v>204717</v>
      </c>
      <c r="AA45" s="73">
        <f ca="1">SUM(AA19:(INDIRECT("aa"&amp;COUNT($J31:$J42)+18)))-7</f>
        <v>2981</v>
      </c>
      <c r="AB45" s="89">
        <f ca="1">SUM(AB19:(INDIRECT("ab"&amp;COUNT($J31:$J42)+18)))+2</f>
        <v>711459</v>
      </c>
    </row>
    <row r="46" spans="1:28" s="74" customFormat="1" ht="14.25" thickBot="1">
      <c r="A46" s="118" t="s">
        <v>56</v>
      </c>
      <c r="B46" s="119"/>
      <c r="C46" s="75">
        <f>C44-C45</f>
        <v>-17800</v>
      </c>
      <c r="D46" s="75">
        <f aca="true" t="shared" si="1" ref="D46:Z46">D44-D45</f>
        <v>-1964835</v>
      </c>
      <c r="E46" s="75">
        <f>E44-E45</f>
        <v>-9573</v>
      </c>
      <c r="F46" s="75">
        <f t="shared" si="1"/>
        <v>-143461</v>
      </c>
      <c r="G46" s="75">
        <f t="shared" si="1"/>
        <v>-2146</v>
      </c>
      <c r="H46" s="75">
        <f>H44-H45</f>
        <v>-713121</v>
      </c>
      <c r="I46" s="75">
        <f t="shared" si="1"/>
        <v>2649</v>
      </c>
      <c r="J46" s="75">
        <f t="shared" si="1"/>
        <v>68619</v>
      </c>
      <c r="K46" s="75">
        <f t="shared" si="1"/>
        <v>72</v>
      </c>
      <c r="L46" s="75">
        <f t="shared" si="1"/>
        <v>36385</v>
      </c>
      <c r="M46" s="75">
        <f t="shared" si="1"/>
        <v>33</v>
      </c>
      <c r="N46" s="75">
        <f t="shared" si="1"/>
        <v>-18481</v>
      </c>
      <c r="O46" s="75">
        <f t="shared" si="1"/>
        <v>24</v>
      </c>
      <c r="P46" s="75">
        <f t="shared" si="1"/>
        <v>6561</v>
      </c>
      <c r="Q46" s="75">
        <f t="shared" si="1"/>
        <v>-39</v>
      </c>
      <c r="R46" s="75">
        <f t="shared" si="1"/>
        <v>-88765</v>
      </c>
      <c r="S46" s="83">
        <f>S44-S45</f>
        <v>12</v>
      </c>
      <c r="T46" s="75">
        <f t="shared" si="1"/>
        <v>1451</v>
      </c>
      <c r="U46" s="75">
        <f t="shared" si="1"/>
        <v>-6293</v>
      </c>
      <c r="V46" s="75">
        <f t="shared" si="1"/>
        <v>-449897</v>
      </c>
      <c r="W46" s="75">
        <f t="shared" si="1"/>
        <v>-4097</v>
      </c>
      <c r="X46" s="75">
        <f t="shared" si="1"/>
        <v>-696324</v>
      </c>
      <c r="Y46" s="75">
        <f t="shared" si="1"/>
        <v>44</v>
      </c>
      <c r="Z46" s="75">
        <f t="shared" si="1"/>
        <v>-50284</v>
      </c>
      <c r="AA46" s="75">
        <f>AA44-AA45</f>
        <v>1514</v>
      </c>
      <c r="AB46" s="90">
        <f>AB44-AB45</f>
        <v>82482</v>
      </c>
    </row>
    <row r="47" s="6" customFormat="1" ht="16.5" customHeight="1">
      <c r="A47" s="6" t="s">
        <v>19</v>
      </c>
    </row>
    <row r="48" s="6" customFormat="1" ht="16.5" customHeight="1">
      <c r="A48" s="6" t="s">
        <v>20</v>
      </c>
    </row>
    <row r="49" s="1" customFormat="1" ht="15" customHeight="1"/>
    <row r="50" spans="3:28" ht="13.5"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</row>
  </sheetData>
  <sheetProtection/>
  <mergeCells count="17">
    <mergeCell ref="Y4:Z4"/>
    <mergeCell ref="AA4:AB4"/>
    <mergeCell ref="A44:B44"/>
    <mergeCell ref="A45:B45"/>
    <mergeCell ref="A46:B46"/>
    <mergeCell ref="M4:N4"/>
    <mergeCell ref="O4:P4"/>
    <mergeCell ref="Q4:R4"/>
    <mergeCell ref="S4:T4"/>
    <mergeCell ref="U4:V4"/>
    <mergeCell ref="W4:X4"/>
    <mergeCell ref="A4:B5"/>
    <mergeCell ref="C4:D4"/>
    <mergeCell ref="E4:F4"/>
    <mergeCell ref="G4:H4"/>
    <mergeCell ref="I4:J4"/>
    <mergeCell ref="K4:L4"/>
  </mergeCells>
  <conditionalFormatting sqref="C44:R46 T44:T46 V44:AB46 U46">
    <cfRule type="cellIs" priority="1" dxfId="12" operator="equal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4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7.59765625" style="56" customWidth="1"/>
    <col min="2" max="2" width="5.5" style="56" customWidth="1"/>
    <col min="3" max="3" width="11.8984375" style="56" customWidth="1"/>
    <col min="4" max="4" width="13.5" style="56" customWidth="1"/>
    <col min="5" max="5" width="8.59765625" style="56" customWidth="1"/>
    <col min="6" max="6" width="11.8984375" style="56" customWidth="1"/>
    <col min="7" max="7" width="8.59765625" style="56" customWidth="1"/>
    <col min="8" max="8" width="11.8984375" style="56" customWidth="1"/>
    <col min="9" max="9" width="8.59765625" style="56" customWidth="1"/>
    <col min="10" max="10" width="11.8984375" style="56" customWidth="1"/>
    <col min="11" max="11" width="8.59765625" style="56" customWidth="1"/>
    <col min="12" max="12" width="11.8984375" style="56" customWidth="1"/>
    <col min="13" max="13" width="8.59765625" style="56" customWidth="1"/>
    <col min="14" max="14" width="11.8984375" style="56" customWidth="1"/>
    <col min="15" max="15" width="8.59765625" style="56" customWidth="1"/>
    <col min="16" max="16" width="11.8984375" style="56" customWidth="1"/>
    <col min="17" max="17" width="8.59765625" style="56" customWidth="1"/>
    <col min="18" max="18" width="11.8984375" style="56" customWidth="1"/>
    <col min="19" max="19" width="8.59765625" style="56" customWidth="1"/>
    <col min="20" max="20" width="11.8984375" style="56" customWidth="1"/>
    <col min="21" max="21" width="8.59765625" style="56" customWidth="1"/>
    <col min="22" max="22" width="11.8984375" style="56" customWidth="1"/>
    <col min="23" max="23" width="8.59765625" style="56" customWidth="1"/>
    <col min="24" max="24" width="11.8984375" style="56" customWidth="1"/>
    <col min="25" max="25" width="8.59765625" style="56" customWidth="1"/>
    <col min="26" max="26" width="11.8984375" style="56" customWidth="1"/>
    <col min="27" max="27" width="8.59765625" style="56" customWidth="1"/>
    <col min="28" max="28" width="11.8984375" style="56" customWidth="1"/>
    <col min="29" max="16384" width="9" style="56" customWidth="1"/>
  </cols>
  <sheetData>
    <row r="1" ht="16.5" customHeight="1">
      <c r="A1" s="5" t="s">
        <v>74</v>
      </c>
    </row>
    <row r="2" ht="13.5" customHeight="1"/>
    <row r="3" s="6" customFormat="1" ht="16.5" customHeight="1">
      <c r="A3" s="6" t="s">
        <v>31</v>
      </c>
    </row>
    <row r="4" spans="1:28" s="6" customFormat="1" ht="18.75" customHeight="1">
      <c r="A4" s="120" t="s">
        <v>18</v>
      </c>
      <c r="B4" s="121"/>
      <c r="C4" s="124" t="s">
        <v>0</v>
      </c>
      <c r="D4" s="125"/>
      <c r="E4" s="126" t="s">
        <v>14</v>
      </c>
      <c r="F4" s="113"/>
      <c r="G4" s="112" t="s">
        <v>21</v>
      </c>
      <c r="H4" s="113"/>
      <c r="I4" s="112" t="s">
        <v>22</v>
      </c>
      <c r="J4" s="113"/>
      <c r="K4" s="112" t="s">
        <v>23</v>
      </c>
      <c r="L4" s="113"/>
      <c r="M4" s="112" t="s">
        <v>24</v>
      </c>
      <c r="N4" s="113"/>
      <c r="O4" s="112" t="s">
        <v>15</v>
      </c>
      <c r="P4" s="113"/>
      <c r="Q4" s="112" t="s">
        <v>25</v>
      </c>
      <c r="R4" s="113"/>
      <c r="S4" s="112" t="s">
        <v>26</v>
      </c>
      <c r="T4" s="113"/>
      <c r="U4" s="112" t="s">
        <v>27</v>
      </c>
      <c r="V4" s="113"/>
      <c r="W4" s="112" t="s">
        <v>28</v>
      </c>
      <c r="X4" s="113"/>
      <c r="Y4" s="112" t="s">
        <v>29</v>
      </c>
      <c r="Z4" s="113"/>
      <c r="AA4" s="112" t="s">
        <v>30</v>
      </c>
      <c r="AB4" s="113"/>
    </row>
    <row r="5" spans="1:28" s="6" customFormat="1" ht="18.75" customHeight="1">
      <c r="A5" s="122"/>
      <c r="B5" s="123"/>
      <c r="C5" s="7" t="s">
        <v>16</v>
      </c>
      <c r="D5" s="40" t="s">
        <v>17</v>
      </c>
      <c r="E5" s="35" t="s">
        <v>16</v>
      </c>
      <c r="F5" s="10" t="s">
        <v>17</v>
      </c>
      <c r="G5" s="7" t="s">
        <v>16</v>
      </c>
      <c r="H5" s="8" t="s">
        <v>17</v>
      </c>
      <c r="I5" s="9" t="s">
        <v>16</v>
      </c>
      <c r="J5" s="10" t="s">
        <v>17</v>
      </c>
      <c r="K5" s="7" t="s">
        <v>16</v>
      </c>
      <c r="L5" s="8" t="s">
        <v>17</v>
      </c>
      <c r="M5" s="9" t="s">
        <v>16</v>
      </c>
      <c r="N5" s="10" t="s">
        <v>17</v>
      </c>
      <c r="O5" s="7" t="s">
        <v>16</v>
      </c>
      <c r="P5" s="8" t="s">
        <v>17</v>
      </c>
      <c r="Q5" s="9" t="s">
        <v>16</v>
      </c>
      <c r="R5" s="8" t="s">
        <v>17</v>
      </c>
      <c r="S5" s="7" t="s">
        <v>16</v>
      </c>
      <c r="T5" s="8" t="s">
        <v>17</v>
      </c>
      <c r="U5" s="9" t="s">
        <v>16</v>
      </c>
      <c r="V5" s="10" t="s">
        <v>17</v>
      </c>
      <c r="W5" s="7" t="s">
        <v>16</v>
      </c>
      <c r="X5" s="8" t="s">
        <v>17</v>
      </c>
      <c r="Y5" s="9" t="s">
        <v>16</v>
      </c>
      <c r="Z5" s="8" t="s">
        <v>17</v>
      </c>
      <c r="AA5" s="7" t="s">
        <v>16</v>
      </c>
      <c r="AB5" s="8" t="s">
        <v>17</v>
      </c>
    </row>
    <row r="6" spans="1:28" s="6" customFormat="1" ht="18.75" customHeight="1">
      <c r="A6" s="11" t="s">
        <v>71</v>
      </c>
      <c r="B6" s="12" t="s">
        <v>13</v>
      </c>
      <c r="C6" s="27">
        <v>114577</v>
      </c>
      <c r="D6" s="41">
        <v>11911835</v>
      </c>
      <c r="E6" s="36">
        <v>53813</v>
      </c>
      <c r="F6" s="30">
        <v>3896698</v>
      </c>
      <c r="G6" s="27">
        <v>3869</v>
      </c>
      <c r="H6" s="28">
        <v>966494</v>
      </c>
      <c r="I6" s="29">
        <v>28526</v>
      </c>
      <c r="J6" s="28">
        <v>1985504</v>
      </c>
      <c r="K6" s="27">
        <v>3602</v>
      </c>
      <c r="L6" s="28">
        <v>587516</v>
      </c>
      <c r="M6" s="29">
        <v>1345</v>
      </c>
      <c r="N6" s="28">
        <v>705161</v>
      </c>
      <c r="O6" s="27">
        <v>1579</v>
      </c>
      <c r="P6" s="28">
        <v>856075</v>
      </c>
      <c r="Q6" s="29">
        <v>118</v>
      </c>
      <c r="R6" s="28">
        <v>212500</v>
      </c>
      <c r="S6" s="27">
        <v>741</v>
      </c>
      <c r="T6" s="28">
        <v>140828</v>
      </c>
      <c r="U6" s="29">
        <v>3364</v>
      </c>
      <c r="V6" s="28">
        <v>78773</v>
      </c>
      <c r="W6" s="27">
        <v>2280</v>
      </c>
      <c r="X6" s="28">
        <v>43754</v>
      </c>
      <c r="Y6" s="29">
        <v>251</v>
      </c>
      <c r="Z6" s="28">
        <v>257030</v>
      </c>
      <c r="AA6" s="27">
        <v>15089</v>
      </c>
      <c r="AB6" s="28">
        <v>2181502</v>
      </c>
    </row>
    <row r="7" spans="1:28" s="6" customFormat="1" ht="18.75" customHeight="1">
      <c r="A7" s="19" t="s">
        <v>70</v>
      </c>
      <c r="B7" s="48" t="s">
        <v>13</v>
      </c>
      <c r="C7" s="23">
        <v>137948</v>
      </c>
      <c r="D7" s="43">
        <v>14562957</v>
      </c>
      <c r="E7" s="38">
        <v>55786</v>
      </c>
      <c r="F7" s="22">
        <v>4489157</v>
      </c>
      <c r="G7" s="23">
        <v>3310</v>
      </c>
      <c r="H7" s="24">
        <v>992926</v>
      </c>
      <c r="I7" s="21">
        <v>27899</v>
      </c>
      <c r="J7" s="24">
        <v>2081572</v>
      </c>
      <c r="K7" s="23">
        <v>3869</v>
      </c>
      <c r="L7" s="24">
        <v>893617</v>
      </c>
      <c r="M7" s="21">
        <v>1490</v>
      </c>
      <c r="N7" s="24">
        <v>754333</v>
      </c>
      <c r="O7" s="23">
        <v>1487</v>
      </c>
      <c r="P7" s="24">
        <v>916744</v>
      </c>
      <c r="Q7" s="21">
        <v>108</v>
      </c>
      <c r="R7" s="24">
        <v>195023</v>
      </c>
      <c r="S7" s="23">
        <v>725</v>
      </c>
      <c r="T7" s="24">
        <v>89569</v>
      </c>
      <c r="U7" s="21">
        <v>1891</v>
      </c>
      <c r="V7" s="24">
        <v>144705</v>
      </c>
      <c r="W7" s="23">
        <v>16112</v>
      </c>
      <c r="X7" s="24">
        <v>382795</v>
      </c>
      <c r="Y7" s="46">
        <v>360</v>
      </c>
      <c r="Z7" s="24">
        <v>326991</v>
      </c>
      <c r="AA7" s="23">
        <v>24912</v>
      </c>
      <c r="AB7" s="24">
        <v>3295525</v>
      </c>
    </row>
    <row r="8" spans="1:28" s="6" customFormat="1" ht="18.75" customHeight="1">
      <c r="A8" s="19" t="s">
        <v>69</v>
      </c>
      <c r="B8" s="48" t="s">
        <v>13</v>
      </c>
      <c r="C8" s="23">
        <v>107569</v>
      </c>
      <c r="D8" s="43">
        <v>12723109</v>
      </c>
      <c r="E8" s="38">
        <v>50408</v>
      </c>
      <c r="F8" s="22">
        <v>4285036</v>
      </c>
      <c r="G8" s="23">
        <v>3511</v>
      </c>
      <c r="H8" s="24">
        <v>1040834</v>
      </c>
      <c r="I8" s="21">
        <v>34098</v>
      </c>
      <c r="J8" s="24">
        <v>2522079</v>
      </c>
      <c r="K8" s="23">
        <v>4992</v>
      </c>
      <c r="L8" s="24">
        <v>660467</v>
      </c>
      <c r="M8" s="21">
        <v>1176</v>
      </c>
      <c r="N8" s="24">
        <v>718806</v>
      </c>
      <c r="O8" s="23">
        <v>1422</v>
      </c>
      <c r="P8" s="24">
        <v>853981</v>
      </c>
      <c r="Q8" s="21">
        <v>103</v>
      </c>
      <c r="R8" s="24">
        <v>171971</v>
      </c>
      <c r="S8" s="23">
        <v>482</v>
      </c>
      <c r="T8" s="24">
        <v>114497</v>
      </c>
      <c r="U8" s="21">
        <v>794</v>
      </c>
      <c r="V8" s="24">
        <v>72318</v>
      </c>
      <c r="W8" s="23">
        <v>52</v>
      </c>
      <c r="X8" s="24">
        <v>2180</v>
      </c>
      <c r="Y8" s="46">
        <v>250</v>
      </c>
      <c r="Z8" s="24">
        <v>366073</v>
      </c>
      <c r="AA8" s="23">
        <v>10282</v>
      </c>
      <c r="AB8" s="24">
        <v>1914866</v>
      </c>
    </row>
    <row r="9" spans="1:28" s="6" customFormat="1" ht="18.75" customHeight="1">
      <c r="A9" s="19" t="s">
        <v>68</v>
      </c>
      <c r="B9" s="48" t="s">
        <v>13</v>
      </c>
      <c r="C9" s="23">
        <v>125679</v>
      </c>
      <c r="D9" s="43">
        <v>15281221</v>
      </c>
      <c r="E9" s="38">
        <v>66253</v>
      </c>
      <c r="F9" s="22">
        <v>6179462</v>
      </c>
      <c r="G9" s="23">
        <v>3669</v>
      </c>
      <c r="H9" s="24">
        <v>1200338</v>
      </c>
      <c r="I9" s="21">
        <v>30698</v>
      </c>
      <c r="J9" s="24">
        <v>2575115</v>
      </c>
      <c r="K9" s="23">
        <v>1852</v>
      </c>
      <c r="L9" s="24">
        <v>257255</v>
      </c>
      <c r="M9" s="21">
        <v>972</v>
      </c>
      <c r="N9" s="24">
        <v>586883</v>
      </c>
      <c r="O9" s="23">
        <v>1462</v>
      </c>
      <c r="P9" s="24">
        <v>895714</v>
      </c>
      <c r="Q9" s="21">
        <v>32</v>
      </c>
      <c r="R9" s="24">
        <v>54093</v>
      </c>
      <c r="S9" s="23">
        <v>233</v>
      </c>
      <c r="T9" s="24">
        <v>70889</v>
      </c>
      <c r="U9" s="21">
        <v>19</v>
      </c>
      <c r="V9" s="24">
        <v>2464</v>
      </c>
      <c r="W9" s="23">
        <v>681</v>
      </c>
      <c r="X9" s="24">
        <v>20030</v>
      </c>
      <c r="Y9" s="46">
        <v>102</v>
      </c>
      <c r="Z9" s="24">
        <v>191992</v>
      </c>
      <c r="AA9" s="23">
        <v>19706</v>
      </c>
      <c r="AB9" s="24">
        <v>3246986</v>
      </c>
    </row>
    <row r="10" spans="1:28" s="6" customFormat="1" ht="18.75" customHeight="1">
      <c r="A10" s="19" t="s">
        <v>67</v>
      </c>
      <c r="B10" s="48" t="s">
        <v>13</v>
      </c>
      <c r="C10" s="23">
        <v>128052</v>
      </c>
      <c r="D10" s="43">
        <v>12154590</v>
      </c>
      <c r="E10" s="38">
        <v>55825</v>
      </c>
      <c r="F10" s="22">
        <v>3325149</v>
      </c>
      <c r="G10" s="23">
        <v>3603</v>
      </c>
      <c r="H10" s="24">
        <v>926514</v>
      </c>
      <c r="I10" s="21">
        <v>28797</v>
      </c>
      <c r="J10" s="24">
        <v>2548975</v>
      </c>
      <c r="K10" s="23">
        <v>4772</v>
      </c>
      <c r="L10" s="24">
        <v>619477</v>
      </c>
      <c r="M10" s="21">
        <v>863</v>
      </c>
      <c r="N10" s="24">
        <v>414570</v>
      </c>
      <c r="O10" s="23">
        <v>1019</v>
      </c>
      <c r="P10" s="24">
        <v>615953</v>
      </c>
      <c r="Q10" s="21">
        <v>72</v>
      </c>
      <c r="R10" s="24">
        <v>121419</v>
      </c>
      <c r="S10" s="23">
        <v>958</v>
      </c>
      <c r="T10" s="24">
        <v>176614</v>
      </c>
      <c r="U10" s="21">
        <v>0</v>
      </c>
      <c r="V10" s="24">
        <v>0</v>
      </c>
      <c r="W10" s="23">
        <v>7138</v>
      </c>
      <c r="X10" s="24">
        <v>123775</v>
      </c>
      <c r="Y10" s="46">
        <v>252</v>
      </c>
      <c r="Z10" s="24">
        <v>250170</v>
      </c>
      <c r="AA10" s="23">
        <v>24753</v>
      </c>
      <c r="AB10" s="24">
        <v>3031974</v>
      </c>
    </row>
    <row r="11" spans="1:28" s="6" customFormat="1" ht="18.75" customHeight="1">
      <c r="A11" s="19" t="s">
        <v>66</v>
      </c>
      <c r="B11" s="48" t="s">
        <v>13</v>
      </c>
      <c r="C11" s="23">
        <v>113990</v>
      </c>
      <c r="D11" s="43">
        <v>11357761</v>
      </c>
      <c r="E11" s="38">
        <v>64240</v>
      </c>
      <c r="F11" s="22">
        <v>4297828</v>
      </c>
      <c r="G11" s="23">
        <v>4715</v>
      </c>
      <c r="H11" s="24">
        <v>1228507</v>
      </c>
      <c r="I11" s="21">
        <v>18531</v>
      </c>
      <c r="J11" s="24">
        <v>2052722</v>
      </c>
      <c r="K11" s="23">
        <v>3085</v>
      </c>
      <c r="L11" s="24">
        <v>713613</v>
      </c>
      <c r="M11" s="21">
        <v>866</v>
      </c>
      <c r="N11" s="24">
        <v>331092</v>
      </c>
      <c r="O11" s="23">
        <v>1282</v>
      </c>
      <c r="P11" s="24">
        <v>899729</v>
      </c>
      <c r="Q11" s="21">
        <v>58</v>
      </c>
      <c r="R11" s="24">
        <v>75496</v>
      </c>
      <c r="S11" s="23">
        <v>429</v>
      </c>
      <c r="T11" s="24">
        <v>88209</v>
      </c>
      <c r="U11" s="21">
        <v>250</v>
      </c>
      <c r="V11" s="24">
        <v>9225</v>
      </c>
      <c r="W11" s="23">
        <v>14742</v>
      </c>
      <c r="X11" s="24">
        <v>356297</v>
      </c>
      <c r="Y11" s="46">
        <v>271</v>
      </c>
      <c r="Z11" s="24">
        <v>190923</v>
      </c>
      <c r="AA11" s="23">
        <v>5521</v>
      </c>
      <c r="AB11" s="24">
        <v>1114120</v>
      </c>
    </row>
    <row r="12" spans="1:28" s="6" customFormat="1" ht="18.75" customHeight="1">
      <c r="A12" s="19" t="s">
        <v>65</v>
      </c>
      <c r="B12" s="48" t="s">
        <v>13</v>
      </c>
      <c r="C12" s="23">
        <v>119641</v>
      </c>
      <c r="D12" s="43">
        <v>9969801</v>
      </c>
      <c r="E12" s="38">
        <v>69584</v>
      </c>
      <c r="F12" s="22">
        <v>2931896</v>
      </c>
      <c r="G12" s="23">
        <v>5691</v>
      </c>
      <c r="H12" s="24">
        <v>1426392</v>
      </c>
      <c r="I12" s="21">
        <v>28277</v>
      </c>
      <c r="J12" s="24">
        <v>2446794</v>
      </c>
      <c r="K12" s="23">
        <v>6271</v>
      </c>
      <c r="L12" s="24">
        <v>1119647</v>
      </c>
      <c r="M12" s="21">
        <v>1303</v>
      </c>
      <c r="N12" s="24">
        <v>482612</v>
      </c>
      <c r="O12" s="23">
        <v>853</v>
      </c>
      <c r="P12" s="24">
        <v>549834</v>
      </c>
      <c r="Q12" s="21">
        <v>97</v>
      </c>
      <c r="R12" s="24">
        <v>92703</v>
      </c>
      <c r="S12" s="23">
        <v>248</v>
      </c>
      <c r="T12" s="24">
        <v>65418</v>
      </c>
      <c r="U12" s="21">
        <v>13</v>
      </c>
      <c r="V12" s="24">
        <v>2146</v>
      </c>
      <c r="W12" s="23">
        <v>3727</v>
      </c>
      <c r="X12" s="24">
        <v>76854</v>
      </c>
      <c r="Y12" s="46">
        <v>138</v>
      </c>
      <c r="Z12" s="24">
        <v>137147</v>
      </c>
      <c r="AA12" s="23">
        <v>3439</v>
      </c>
      <c r="AB12" s="24">
        <v>638358</v>
      </c>
    </row>
    <row r="13" spans="1:28" s="6" customFormat="1" ht="18.75" customHeight="1">
      <c r="A13" s="19" t="s">
        <v>64</v>
      </c>
      <c r="B13" s="48" t="s">
        <v>13</v>
      </c>
      <c r="C13" s="23">
        <v>110258</v>
      </c>
      <c r="D13" s="43">
        <v>8839453</v>
      </c>
      <c r="E13" s="64">
        <v>58421</v>
      </c>
      <c r="F13" s="22">
        <v>2986632</v>
      </c>
      <c r="G13" s="23">
        <v>6652</v>
      </c>
      <c r="H13" s="24">
        <v>1281557</v>
      </c>
      <c r="I13" s="65">
        <v>23683</v>
      </c>
      <c r="J13" s="66">
        <v>1484421</v>
      </c>
      <c r="K13" s="23">
        <v>6664</v>
      </c>
      <c r="L13" s="24">
        <v>963214</v>
      </c>
      <c r="M13" s="21">
        <v>1155</v>
      </c>
      <c r="N13" s="24">
        <v>444008</v>
      </c>
      <c r="O13" s="23">
        <v>504</v>
      </c>
      <c r="P13" s="24">
        <v>237111</v>
      </c>
      <c r="Q13" s="21">
        <v>104</v>
      </c>
      <c r="R13" s="24">
        <v>96695</v>
      </c>
      <c r="S13" s="23">
        <v>47</v>
      </c>
      <c r="T13" s="24">
        <v>11308</v>
      </c>
      <c r="U13" s="21">
        <v>2410</v>
      </c>
      <c r="V13" s="24">
        <v>181592</v>
      </c>
      <c r="W13" s="46">
        <v>3162</v>
      </c>
      <c r="X13" s="24">
        <v>77658</v>
      </c>
      <c r="Y13" s="46">
        <v>192</v>
      </c>
      <c r="Z13" s="24">
        <v>321608</v>
      </c>
      <c r="AA13" s="67">
        <v>7264</v>
      </c>
      <c r="AB13" s="66">
        <v>753649</v>
      </c>
    </row>
    <row r="14" spans="1:28" s="48" customFormat="1" ht="18.75" customHeight="1">
      <c r="A14" s="19" t="s">
        <v>63</v>
      </c>
      <c r="B14" s="48" t="s">
        <v>13</v>
      </c>
      <c r="C14" s="23">
        <v>110668</v>
      </c>
      <c r="D14" s="43">
        <v>9021716</v>
      </c>
      <c r="E14" s="64">
        <v>65699</v>
      </c>
      <c r="F14" s="22">
        <v>3137775</v>
      </c>
      <c r="G14" s="23">
        <v>7287</v>
      </c>
      <c r="H14" s="24">
        <v>1124322</v>
      </c>
      <c r="I14" s="65">
        <v>15196</v>
      </c>
      <c r="J14" s="66">
        <v>1527694</v>
      </c>
      <c r="K14" s="23">
        <v>3001</v>
      </c>
      <c r="L14" s="24">
        <v>709906</v>
      </c>
      <c r="M14" s="21">
        <v>986</v>
      </c>
      <c r="N14" s="24">
        <v>319190</v>
      </c>
      <c r="O14" s="23">
        <v>268</v>
      </c>
      <c r="P14" s="24">
        <v>173234</v>
      </c>
      <c r="Q14" s="21">
        <v>181</v>
      </c>
      <c r="R14" s="24">
        <v>178894</v>
      </c>
      <c r="S14" s="23">
        <v>116</v>
      </c>
      <c r="T14" s="24">
        <v>38062</v>
      </c>
      <c r="U14" s="21">
        <v>2695</v>
      </c>
      <c r="V14" s="24">
        <v>400759</v>
      </c>
      <c r="W14" s="21">
        <v>9483</v>
      </c>
      <c r="X14" s="24">
        <v>327673</v>
      </c>
      <c r="Y14" s="21">
        <v>196</v>
      </c>
      <c r="Z14" s="24">
        <v>342030</v>
      </c>
      <c r="AA14" s="67">
        <v>5560</v>
      </c>
      <c r="AB14" s="66">
        <v>742177</v>
      </c>
    </row>
    <row r="15" spans="1:28" s="48" customFormat="1" ht="18.75" customHeight="1">
      <c r="A15" s="19" t="s">
        <v>62</v>
      </c>
      <c r="B15" s="48" t="s">
        <v>13</v>
      </c>
      <c r="C15" s="23">
        <v>130571</v>
      </c>
      <c r="D15" s="43">
        <v>12777794</v>
      </c>
      <c r="E15" s="64">
        <v>56430</v>
      </c>
      <c r="F15" s="22">
        <v>3445393</v>
      </c>
      <c r="G15" s="23">
        <v>5709</v>
      </c>
      <c r="H15" s="24">
        <v>1339390</v>
      </c>
      <c r="I15" s="65">
        <v>23207</v>
      </c>
      <c r="J15" s="66">
        <v>2204697</v>
      </c>
      <c r="K15" s="23">
        <v>8431</v>
      </c>
      <c r="L15" s="24">
        <v>1895592</v>
      </c>
      <c r="M15" s="21">
        <v>610</v>
      </c>
      <c r="N15" s="24">
        <v>220837</v>
      </c>
      <c r="O15" s="23">
        <v>431</v>
      </c>
      <c r="P15" s="24">
        <v>285937</v>
      </c>
      <c r="Q15" s="21">
        <v>166</v>
      </c>
      <c r="R15" s="24">
        <v>212345</v>
      </c>
      <c r="S15" s="23">
        <v>36</v>
      </c>
      <c r="T15" s="24">
        <v>22854</v>
      </c>
      <c r="U15" s="21">
        <v>9317</v>
      </c>
      <c r="V15" s="24">
        <v>791049</v>
      </c>
      <c r="W15" s="21">
        <v>20523</v>
      </c>
      <c r="X15" s="24">
        <v>1040849</v>
      </c>
      <c r="Y15" s="21">
        <v>120</v>
      </c>
      <c r="Z15" s="24">
        <v>176301</v>
      </c>
      <c r="AA15" s="67">
        <v>5591</v>
      </c>
      <c r="AB15" s="66">
        <v>1142550</v>
      </c>
    </row>
    <row r="16" spans="1:28" s="48" customFormat="1" ht="18.75" customHeight="1">
      <c r="A16" s="19" t="s">
        <v>61</v>
      </c>
      <c r="B16" s="48" t="s">
        <v>13</v>
      </c>
      <c r="C16" s="23">
        <v>114977</v>
      </c>
      <c r="D16" s="43">
        <v>12142655</v>
      </c>
      <c r="E16" s="64">
        <v>50726</v>
      </c>
      <c r="F16" s="22">
        <v>3216817</v>
      </c>
      <c r="G16" s="23">
        <v>6020</v>
      </c>
      <c r="H16" s="24">
        <v>1732939</v>
      </c>
      <c r="I16" s="65">
        <v>7166</v>
      </c>
      <c r="J16" s="66">
        <v>1226828</v>
      </c>
      <c r="K16" s="23">
        <v>8254</v>
      </c>
      <c r="L16" s="24">
        <v>2031081</v>
      </c>
      <c r="M16" s="21">
        <v>527</v>
      </c>
      <c r="N16" s="24">
        <v>210163</v>
      </c>
      <c r="O16" s="23">
        <v>151</v>
      </c>
      <c r="P16" s="24">
        <v>89239</v>
      </c>
      <c r="Q16" s="21">
        <v>177</v>
      </c>
      <c r="R16" s="24">
        <v>266286</v>
      </c>
      <c r="S16" s="23">
        <v>3</v>
      </c>
      <c r="T16" s="24">
        <v>1554</v>
      </c>
      <c r="U16" s="21">
        <v>10815</v>
      </c>
      <c r="V16" s="24">
        <v>721345</v>
      </c>
      <c r="W16" s="21">
        <v>28805</v>
      </c>
      <c r="X16" s="24">
        <v>1738868</v>
      </c>
      <c r="Y16" s="21">
        <v>252</v>
      </c>
      <c r="Z16" s="24">
        <v>301961</v>
      </c>
      <c r="AA16" s="67">
        <v>2081</v>
      </c>
      <c r="AB16" s="66">
        <v>605574</v>
      </c>
    </row>
    <row r="17" spans="1:28" s="82" customFormat="1" ht="18" customHeight="1" thickBot="1">
      <c r="A17" s="13" t="s">
        <v>60</v>
      </c>
      <c r="B17" s="14" t="s">
        <v>13</v>
      </c>
      <c r="C17" s="17">
        <v>114207</v>
      </c>
      <c r="D17" s="42">
        <v>10099229</v>
      </c>
      <c r="E17" s="49">
        <v>39487</v>
      </c>
      <c r="F17" s="16">
        <v>2296624</v>
      </c>
      <c r="G17" s="17">
        <v>6378</v>
      </c>
      <c r="H17" s="18">
        <v>1563395</v>
      </c>
      <c r="I17" s="61">
        <v>5659</v>
      </c>
      <c r="J17" s="62">
        <v>1004696</v>
      </c>
      <c r="K17" s="17">
        <v>1468</v>
      </c>
      <c r="L17" s="18">
        <v>728045</v>
      </c>
      <c r="M17" s="15">
        <v>526</v>
      </c>
      <c r="N17" s="18">
        <v>230714</v>
      </c>
      <c r="O17" s="17">
        <v>138</v>
      </c>
      <c r="P17" s="18">
        <v>81800</v>
      </c>
      <c r="Q17" s="15">
        <v>117</v>
      </c>
      <c r="R17" s="18">
        <v>193017</v>
      </c>
      <c r="S17" s="17">
        <v>1</v>
      </c>
      <c r="T17" s="18">
        <v>984</v>
      </c>
      <c r="U17" s="15">
        <v>6661</v>
      </c>
      <c r="V17" s="18">
        <v>761320</v>
      </c>
      <c r="W17" s="15">
        <v>49471</v>
      </c>
      <c r="X17" s="18">
        <v>2096873</v>
      </c>
      <c r="Y17" s="15">
        <v>170</v>
      </c>
      <c r="Z17" s="18">
        <v>290996</v>
      </c>
      <c r="AA17" s="63">
        <v>4131</v>
      </c>
      <c r="AB17" s="62">
        <v>850765</v>
      </c>
    </row>
    <row r="18" spans="1:28" s="6" customFormat="1" ht="16.5" customHeight="1" thickTop="1">
      <c r="A18" s="19" t="s">
        <v>60</v>
      </c>
      <c r="B18" s="20" t="s">
        <v>1</v>
      </c>
      <c r="C18" s="23">
        <v>4179</v>
      </c>
      <c r="D18" s="43">
        <v>512925</v>
      </c>
      <c r="E18" s="38">
        <v>3532</v>
      </c>
      <c r="F18" s="22">
        <v>263876</v>
      </c>
      <c r="G18" s="23">
        <v>509</v>
      </c>
      <c r="H18" s="24">
        <v>172367</v>
      </c>
      <c r="I18" s="21">
        <v>0</v>
      </c>
      <c r="J18" s="24">
        <v>0</v>
      </c>
      <c r="K18" s="23">
        <v>11</v>
      </c>
      <c r="L18" s="24">
        <v>1170</v>
      </c>
      <c r="M18" s="21">
        <v>42</v>
      </c>
      <c r="N18" s="24">
        <v>18915</v>
      </c>
      <c r="O18" s="23">
        <v>0</v>
      </c>
      <c r="P18" s="24">
        <v>0</v>
      </c>
      <c r="Q18" s="46">
        <v>8</v>
      </c>
      <c r="R18" s="24">
        <v>14325</v>
      </c>
      <c r="S18" s="78">
        <v>0</v>
      </c>
      <c r="T18" s="24">
        <v>185</v>
      </c>
      <c r="U18" s="21">
        <v>0</v>
      </c>
      <c r="V18" s="24">
        <v>0</v>
      </c>
      <c r="W18" s="60">
        <v>0</v>
      </c>
      <c r="X18" s="24">
        <v>0</v>
      </c>
      <c r="Y18" s="60">
        <v>0</v>
      </c>
      <c r="Z18" s="24">
        <v>0</v>
      </c>
      <c r="AA18" s="23">
        <v>77</v>
      </c>
      <c r="AB18" s="24">
        <v>42087</v>
      </c>
    </row>
    <row r="19" spans="1:28" s="6" customFormat="1" ht="16.5" customHeight="1">
      <c r="A19" s="19"/>
      <c r="B19" s="20" t="s">
        <v>2</v>
      </c>
      <c r="C19" s="23">
        <v>5662</v>
      </c>
      <c r="D19" s="43">
        <v>481681</v>
      </c>
      <c r="E19" s="38">
        <v>4900</v>
      </c>
      <c r="F19" s="22">
        <v>312369</v>
      </c>
      <c r="G19" s="23">
        <v>645</v>
      </c>
      <c r="H19" s="24">
        <v>133790</v>
      </c>
      <c r="I19" s="21">
        <v>0</v>
      </c>
      <c r="J19" s="24">
        <v>0</v>
      </c>
      <c r="K19" s="23">
        <v>10</v>
      </c>
      <c r="L19" s="24">
        <v>933</v>
      </c>
      <c r="M19" s="21">
        <v>31</v>
      </c>
      <c r="N19" s="24">
        <v>12966</v>
      </c>
      <c r="O19" s="23">
        <v>0</v>
      </c>
      <c r="P19" s="24">
        <v>0</v>
      </c>
      <c r="Q19" s="46">
        <v>5</v>
      </c>
      <c r="R19" s="24">
        <v>9500</v>
      </c>
      <c r="S19" s="78">
        <v>0</v>
      </c>
      <c r="T19" s="24">
        <v>213</v>
      </c>
      <c r="U19" s="21">
        <v>0</v>
      </c>
      <c r="V19" s="24">
        <v>0</v>
      </c>
      <c r="W19" s="23">
        <v>0</v>
      </c>
      <c r="X19" s="24">
        <v>0</v>
      </c>
      <c r="Y19" s="21">
        <v>0</v>
      </c>
      <c r="Z19" s="24">
        <v>0</v>
      </c>
      <c r="AA19" s="23">
        <v>71</v>
      </c>
      <c r="AB19" s="24">
        <v>11910</v>
      </c>
    </row>
    <row r="20" spans="1:28" s="6" customFormat="1" ht="16.5" customHeight="1">
      <c r="A20" s="19"/>
      <c r="B20" s="20" t="s">
        <v>3</v>
      </c>
      <c r="C20" s="23">
        <v>5070</v>
      </c>
      <c r="D20" s="43">
        <v>473662</v>
      </c>
      <c r="E20" s="38">
        <v>4105</v>
      </c>
      <c r="F20" s="22">
        <v>234324</v>
      </c>
      <c r="G20" s="23">
        <v>808</v>
      </c>
      <c r="H20" s="24">
        <v>182382</v>
      </c>
      <c r="I20" s="21">
        <v>0</v>
      </c>
      <c r="J20" s="24">
        <v>0</v>
      </c>
      <c r="K20" s="23">
        <v>10</v>
      </c>
      <c r="L20" s="24">
        <v>870</v>
      </c>
      <c r="M20" s="21">
        <v>33</v>
      </c>
      <c r="N20" s="24">
        <v>12848</v>
      </c>
      <c r="O20" s="23">
        <v>0</v>
      </c>
      <c r="P20" s="24">
        <v>0</v>
      </c>
      <c r="Q20" s="21">
        <v>21</v>
      </c>
      <c r="R20" s="24">
        <v>27581</v>
      </c>
      <c r="S20" s="78">
        <v>0</v>
      </c>
      <c r="T20" s="24">
        <v>428</v>
      </c>
      <c r="U20" s="21">
        <v>0</v>
      </c>
      <c r="V20" s="24">
        <v>0</v>
      </c>
      <c r="W20" s="23">
        <v>0</v>
      </c>
      <c r="X20" s="24">
        <v>0</v>
      </c>
      <c r="Y20" s="21">
        <v>0</v>
      </c>
      <c r="Z20" s="24">
        <v>0</v>
      </c>
      <c r="AA20" s="23">
        <v>93</v>
      </c>
      <c r="AB20" s="24">
        <v>15229</v>
      </c>
    </row>
    <row r="21" spans="1:28" s="6" customFormat="1" ht="16.5" customHeight="1">
      <c r="A21" s="19"/>
      <c r="B21" s="20" t="s">
        <v>4</v>
      </c>
      <c r="C21" s="23">
        <v>4622</v>
      </c>
      <c r="D21" s="43">
        <v>477227</v>
      </c>
      <c r="E21" s="38">
        <v>3699</v>
      </c>
      <c r="F21" s="22">
        <v>210077</v>
      </c>
      <c r="G21" s="23">
        <v>609</v>
      </c>
      <c r="H21" s="24">
        <v>163463</v>
      </c>
      <c r="I21" s="21">
        <v>0</v>
      </c>
      <c r="J21" s="24">
        <v>0</v>
      </c>
      <c r="K21" s="23">
        <v>7</v>
      </c>
      <c r="L21" s="24">
        <v>711</v>
      </c>
      <c r="M21" s="21">
        <v>35</v>
      </c>
      <c r="N21" s="24">
        <v>12147</v>
      </c>
      <c r="O21" s="23">
        <v>4</v>
      </c>
      <c r="P21" s="24">
        <v>4325</v>
      </c>
      <c r="Q21" s="21">
        <v>11</v>
      </c>
      <c r="R21" s="24">
        <v>18393</v>
      </c>
      <c r="S21" s="78">
        <v>0</v>
      </c>
      <c r="T21" s="24">
        <v>110</v>
      </c>
      <c r="U21" s="21">
        <v>0</v>
      </c>
      <c r="V21" s="24">
        <v>0</v>
      </c>
      <c r="W21" s="23">
        <v>0</v>
      </c>
      <c r="X21" s="24">
        <v>0</v>
      </c>
      <c r="Y21" s="21">
        <v>0</v>
      </c>
      <c r="Z21" s="24">
        <v>0</v>
      </c>
      <c r="AA21" s="23">
        <v>257</v>
      </c>
      <c r="AB21" s="24">
        <v>68001</v>
      </c>
    </row>
    <row r="22" spans="1:28" s="6" customFormat="1" ht="16.5" customHeight="1">
      <c r="A22" s="19"/>
      <c r="B22" s="20" t="s">
        <v>5</v>
      </c>
      <c r="C22" s="23">
        <v>2969</v>
      </c>
      <c r="D22" s="43">
        <v>463564</v>
      </c>
      <c r="E22" s="38">
        <v>1093</v>
      </c>
      <c r="F22" s="22">
        <v>65355</v>
      </c>
      <c r="G22" s="23">
        <v>1300</v>
      </c>
      <c r="H22" s="24">
        <v>211515</v>
      </c>
      <c r="I22" s="21">
        <v>0</v>
      </c>
      <c r="J22" s="24">
        <v>0</v>
      </c>
      <c r="K22" s="23">
        <v>9</v>
      </c>
      <c r="L22" s="24">
        <v>965</v>
      </c>
      <c r="M22" s="21">
        <v>83</v>
      </c>
      <c r="N22" s="24">
        <v>16541</v>
      </c>
      <c r="O22" s="23">
        <v>29</v>
      </c>
      <c r="P22" s="24">
        <v>18488</v>
      </c>
      <c r="Q22" s="21">
        <v>21</v>
      </c>
      <c r="R22" s="24">
        <v>29124</v>
      </c>
      <c r="S22" s="78">
        <v>0</v>
      </c>
      <c r="T22" s="24">
        <v>24</v>
      </c>
      <c r="U22" s="21">
        <v>0</v>
      </c>
      <c r="V22" s="24">
        <v>0</v>
      </c>
      <c r="W22" s="23">
        <v>0</v>
      </c>
      <c r="X22" s="24">
        <v>0</v>
      </c>
      <c r="Y22" s="21">
        <v>0</v>
      </c>
      <c r="Z22" s="24">
        <v>0</v>
      </c>
      <c r="AA22" s="23">
        <v>434</v>
      </c>
      <c r="AB22" s="24">
        <v>121552</v>
      </c>
    </row>
    <row r="23" spans="1:28" s="6" customFormat="1" ht="16.5" customHeight="1">
      <c r="A23" s="19"/>
      <c r="B23" s="20" t="s">
        <v>6</v>
      </c>
      <c r="C23" s="23">
        <v>1391</v>
      </c>
      <c r="D23" s="43">
        <v>217823</v>
      </c>
      <c r="E23" s="38">
        <v>99</v>
      </c>
      <c r="F23" s="22">
        <v>5804</v>
      </c>
      <c r="G23" s="23">
        <v>90</v>
      </c>
      <c r="H23" s="24">
        <v>17078</v>
      </c>
      <c r="I23" s="21">
        <v>440</v>
      </c>
      <c r="J23" s="24">
        <v>20426</v>
      </c>
      <c r="K23" s="53">
        <v>1</v>
      </c>
      <c r="L23" s="24">
        <v>164</v>
      </c>
      <c r="M23" s="21">
        <v>26</v>
      </c>
      <c r="N23" s="24">
        <v>5915</v>
      </c>
      <c r="O23" s="23">
        <v>50</v>
      </c>
      <c r="P23" s="24">
        <v>26405</v>
      </c>
      <c r="Q23" s="53">
        <v>4</v>
      </c>
      <c r="R23" s="24">
        <v>5481</v>
      </c>
      <c r="S23" s="45">
        <v>0</v>
      </c>
      <c r="T23" s="24">
        <v>2</v>
      </c>
      <c r="U23" s="21">
        <v>4</v>
      </c>
      <c r="V23" s="24">
        <v>233</v>
      </c>
      <c r="W23" s="23">
        <v>345</v>
      </c>
      <c r="X23" s="24">
        <v>49099</v>
      </c>
      <c r="Y23" s="21">
        <v>0</v>
      </c>
      <c r="Z23" s="24">
        <v>0</v>
      </c>
      <c r="AA23" s="23">
        <v>332</v>
      </c>
      <c r="AB23" s="24">
        <v>87216</v>
      </c>
    </row>
    <row r="24" spans="1:28" s="6" customFormat="1" ht="16.5" customHeight="1">
      <c r="A24" s="19"/>
      <c r="B24" s="20" t="s">
        <v>7</v>
      </c>
      <c r="C24" s="23">
        <v>828</v>
      </c>
      <c r="D24" s="43">
        <v>115821</v>
      </c>
      <c r="E24" s="38">
        <v>45</v>
      </c>
      <c r="F24" s="22">
        <v>2791</v>
      </c>
      <c r="G24" s="23">
        <v>44</v>
      </c>
      <c r="H24" s="24">
        <v>11556</v>
      </c>
      <c r="I24" s="21">
        <v>3</v>
      </c>
      <c r="J24" s="24">
        <v>12403</v>
      </c>
      <c r="K24" s="45">
        <v>0</v>
      </c>
      <c r="L24" s="24">
        <v>1</v>
      </c>
      <c r="M24" s="21">
        <v>19</v>
      </c>
      <c r="N24" s="24">
        <v>7444</v>
      </c>
      <c r="O24" s="23">
        <v>0</v>
      </c>
      <c r="P24" s="24">
        <v>0</v>
      </c>
      <c r="Q24" s="21">
        <v>2</v>
      </c>
      <c r="R24" s="24">
        <v>4510</v>
      </c>
      <c r="S24" s="45">
        <v>0</v>
      </c>
      <c r="T24" s="24">
        <v>1</v>
      </c>
      <c r="U24" s="45">
        <v>5</v>
      </c>
      <c r="V24" s="24">
        <v>221</v>
      </c>
      <c r="W24" s="21">
        <v>552</v>
      </c>
      <c r="X24" s="24">
        <v>51093</v>
      </c>
      <c r="Y24" s="21">
        <v>0</v>
      </c>
      <c r="Z24" s="24">
        <v>0</v>
      </c>
      <c r="AA24" s="23">
        <v>158</v>
      </c>
      <c r="AB24" s="24">
        <v>25801</v>
      </c>
    </row>
    <row r="25" spans="1:28" s="6" customFormat="1" ht="16.5" customHeight="1">
      <c r="A25" s="19"/>
      <c r="B25" s="20" t="s">
        <v>8</v>
      </c>
      <c r="C25" s="23">
        <v>1039</v>
      </c>
      <c r="D25" s="43">
        <v>141342</v>
      </c>
      <c r="E25" s="38">
        <v>2</v>
      </c>
      <c r="F25" s="22">
        <v>164</v>
      </c>
      <c r="G25" s="23">
        <v>2</v>
      </c>
      <c r="H25" s="24">
        <v>416</v>
      </c>
      <c r="I25" s="21">
        <v>36</v>
      </c>
      <c r="J25" s="24">
        <v>23980</v>
      </c>
      <c r="K25" s="23">
        <v>26</v>
      </c>
      <c r="L25" s="24">
        <v>10319</v>
      </c>
      <c r="M25" s="21">
        <v>3</v>
      </c>
      <c r="N25" s="24">
        <v>986</v>
      </c>
      <c r="O25" s="23">
        <v>0</v>
      </c>
      <c r="P25" s="24">
        <v>0</v>
      </c>
      <c r="Q25" s="21">
        <v>4</v>
      </c>
      <c r="R25" s="24">
        <v>7529</v>
      </c>
      <c r="S25" s="23">
        <v>0</v>
      </c>
      <c r="T25" s="24">
        <v>0</v>
      </c>
      <c r="U25" s="80">
        <v>0</v>
      </c>
      <c r="V25" s="24">
        <v>23</v>
      </c>
      <c r="W25" s="23">
        <v>903</v>
      </c>
      <c r="X25" s="24">
        <v>88257</v>
      </c>
      <c r="Y25" s="21">
        <v>0</v>
      </c>
      <c r="Z25" s="24">
        <v>0</v>
      </c>
      <c r="AA25" s="23">
        <v>63</v>
      </c>
      <c r="AB25" s="24">
        <v>9668</v>
      </c>
    </row>
    <row r="26" spans="1:28" s="6" customFormat="1" ht="16.5" customHeight="1">
      <c r="A26" s="19"/>
      <c r="B26" s="20" t="s">
        <v>9</v>
      </c>
      <c r="C26" s="23">
        <v>42110</v>
      </c>
      <c r="D26" s="43">
        <v>2963327</v>
      </c>
      <c r="E26" s="38">
        <v>10170</v>
      </c>
      <c r="F26" s="22">
        <v>424079</v>
      </c>
      <c r="G26" s="23">
        <v>680</v>
      </c>
      <c r="H26" s="24">
        <v>129041</v>
      </c>
      <c r="I26" s="21">
        <v>2570</v>
      </c>
      <c r="J26" s="24">
        <v>484900</v>
      </c>
      <c r="K26" s="23">
        <v>1225</v>
      </c>
      <c r="L26" s="24">
        <v>602010</v>
      </c>
      <c r="M26" s="21">
        <v>37</v>
      </c>
      <c r="N26" s="24">
        <v>9171</v>
      </c>
      <c r="O26" s="23">
        <v>42</v>
      </c>
      <c r="P26" s="24">
        <v>24660</v>
      </c>
      <c r="Q26" s="21">
        <v>10</v>
      </c>
      <c r="R26" s="24">
        <v>18073</v>
      </c>
      <c r="S26" s="45">
        <v>0</v>
      </c>
      <c r="T26" s="24">
        <v>7</v>
      </c>
      <c r="U26" s="45">
        <v>489</v>
      </c>
      <c r="V26" s="24">
        <v>15867</v>
      </c>
      <c r="W26" s="23">
        <v>26378</v>
      </c>
      <c r="X26" s="24">
        <v>1072462</v>
      </c>
      <c r="Y26" s="21">
        <v>0</v>
      </c>
      <c r="Z26" s="24">
        <v>0</v>
      </c>
      <c r="AA26" s="23">
        <v>509</v>
      </c>
      <c r="AB26" s="24">
        <v>183057</v>
      </c>
    </row>
    <row r="27" spans="1:28" s="6" customFormat="1" ht="16.5" customHeight="1">
      <c r="A27" s="19"/>
      <c r="B27" s="20" t="s">
        <v>10</v>
      </c>
      <c r="C27" s="23">
        <v>36716</v>
      </c>
      <c r="D27" s="43">
        <v>2578416</v>
      </c>
      <c r="E27" s="38">
        <v>4969</v>
      </c>
      <c r="F27" s="22">
        <v>218781</v>
      </c>
      <c r="G27" s="23">
        <v>561</v>
      </c>
      <c r="H27" s="24">
        <v>139387</v>
      </c>
      <c r="I27" s="21">
        <v>2440</v>
      </c>
      <c r="J27" s="24">
        <v>431791</v>
      </c>
      <c r="K27" s="23">
        <v>136</v>
      </c>
      <c r="L27" s="24">
        <v>92913</v>
      </c>
      <c r="M27" s="21">
        <v>50</v>
      </c>
      <c r="N27" s="24">
        <v>12604</v>
      </c>
      <c r="O27" s="23">
        <v>12</v>
      </c>
      <c r="P27" s="24">
        <v>7806</v>
      </c>
      <c r="Q27" s="21">
        <v>8</v>
      </c>
      <c r="R27" s="24">
        <v>15426</v>
      </c>
      <c r="S27" s="23">
        <v>0</v>
      </c>
      <c r="T27" s="24">
        <v>0</v>
      </c>
      <c r="U27" s="46">
        <v>6162</v>
      </c>
      <c r="V27" s="24">
        <v>744977</v>
      </c>
      <c r="W27" s="23">
        <v>21292</v>
      </c>
      <c r="X27" s="24">
        <v>835961</v>
      </c>
      <c r="Y27" s="21">
        <v>0</v>
      </c>
      <c r="Z27" s="24">
        <v>0</v>
      </c>
      <c r="AA27" s="23">
        <v>1086</v>
      </c>
      <c r="AB27" s="24">
        <v>78770</v>
      </c>
    </row>
    <row r="28" spans="1:28" s="6" customFormat="1" ht="16.5" customHeight="1">
      <c r="A28" s="19"/>
      <c r="B28" s="20" t="s">
        <v>11</v>
      </c>
      <c r="C28" s="23">
        <v>4947</v>
      </c>
      <c r="D28" s="43">
        <v>1021735</v>
      </c>
      <c r="E28" s="38">
        <v>2855</v>
      </c>
      <c r="F28" s="22">
        <v>204593</v>
      </c>
      <c r="G28" s="23">
        <v>729</v>
      </c>
      <c r="H28" s="24">
        <v>269783</v>
      </c>
      <c r="I28" s="21">
        <v>170</v>
      </c>
      <c r="J28" s="24">
        <v>31195</v>
      </c>
      <c r="K28" s="23">
        <v>20</v>
      </c>
      <c r="L28" s="24">
        <v>15850</v>
      </c>
      <c r="M28" s="21">
        <v>107</v>
      </c>
      <c r="N28" s="24">
        <v>80587</v>
      </c>
      <c r="O28" s="45">
        <v>0</v>
      </c>
      <c r="P28" s="24">
        <v>116</v>
      </c>
      <c r="Q28" s="21">
        <v>8</v>
      </c>
      <c r="R28" s="24">
        <v>14399</v>
      </c>
      <c r="S28" s="78">
        <v>0</v>
      </c>
      <c r="T28" s="24">
        <v>8</v>
      </c>
      <c r="U28" s="21">
        <v>0</v>
      </c>
      <c r="V28" s="24">
        <v>0</v>
      </c>
      <c r="W28" s="23">
        <v>0</v>
      </c>
      <c r="X28" s="24">
        <v>0</v>
      </c>
      <c r="Y28" s="21">
        <v>170</v>
      </c>
      <c r="Z28" s="24">
        <v>290996</v>
      </c>
      <c r="AA28" s="23">
        <v>888</v>
      </c>
      <c r="AB28" s="24">
        <v>114208</v>
      </c>
    </row>
    <row r="29" spans="1:28" s="6" customFormat="1" ht="16.5" customHeight="1">
      <c r="A29" s="25"/>
      <c r="B29" s="26" t="s">
        <v>12</v>
      </c>
      <c r="C29" s="31">
        <v>4675</v>
      </c>
      <c r="D29" s="44">
        <v>651706</v>
      </c>
      <c r="E29" s="39">
        <v>4018</v>
      </c>
      <c r="F29" s="34">
        <v>354410</v>
      </c>
      <c r="G29" s="31">
        <v>401</v>
      </c>
      <c r="H29" s="32">
        <v>132617</v>
      </c>
      <c r="I29" s="33">
        <v>0</v>
      </c>
      <c r="J29" s="32">
        <v>0</v>
      </c>
      <c r="K29" s="31">
        <v>12</v>
      </c>
      <c r="L29" s="32">
        <v>2138</v>
      </c>
      <c r="M29" s="33">
        <v>60</v>
      </c>
      <c r="N29" s="32">
        <v>40590</v>
      </c>
      <c r="O29" s="31">
        <v>0</v>
      </c>
      <c r="P29" s="32">
        <v>0</v>
      </c>
      <c r="Q29" s="33">
        <v>16</v>
      </c>
      <c r="R29" s="32">
        <v>28675</v>
      </c>
      <c r="S29" s="79">
        <v>0</v>
      </c>
      <c r="T29" s="32">
        <v>5</v>
      </c>
      <c r="U29" s="33">
        <v>0</v>
      </c>
      <c r="V29" s="32">
        <v>0</v>
      </c>
      <c r="W29" s="33">
        <v>0</v>
      </c>
      <c r="X29" s="32">
        <v>0</v>
      </c>
      <c r="Y29" s="33">
        <v>0</v>
      </c>
      <c r="Z29" s="32">
        <v>0</v>
      </c>
      <c r="AA29" s="31">
        <v>168</v>
      </c>
      <c r="AB29" s="32">
        <v>93271</v>
      </c>
    </row>
    <row r="30" spans="1:28" s="6" customFormat="1" ht="16.5" customHeight="1">
      <c r="A30" s="19" t="s">
        <v>59</v>
      </c>
      <c r="B30" s="20" t="s">
        <v>1</v>
      </c>
      <c r="C30" s="23">
        <v>4797</v>
      </c>
      <c r="D30" s="43">
        <v>547230</v>
      </c>
      <c r="E30" s="38">
        <v>3957</v>
      </c>
      <c r="F30" s="22">
        <v>300672</v>
      </c>
      <c r="G30" s="23">
        <v>681</v>
      </c>
      <c r="H30" s="24">
        <v>171028</v>
      </c>
      <c r="I30" s="21">
        <v>0</v>
      </c>
      <c r="J30" s="24">
        <v>0</v>
      </c>
      <c r="K30" s="23">
        <v>5</v>
      </c>
      <c r="L30" s="24">
        <v>1129</v>
      </c>
      <c r="M30" s="21">
        <v>38</v>
      </c>
      <c r="N30" s="24">
        <v>14046</v>
      </c>
      <c r="O30" s="23">
        <v>0</v>
      </c>
      <c r="P30" s="24">
        <v>0</v>
      </c>
      <c r="Q30" s="46">
        <v>10</v>
      </c>
      <c r="R30" s="24">
        <v>18727</v>
      </c>
      <c r="S30" s="45">
        <v>0</v>
      </c>
      <c r="T30" s="24">
        <v>10</v>
      </c>
      <c r="U30" s="21">
        <v>0</v>
      </c>
      <c r="V30" s="24">
        <v>0</v>
      </c>
      <c r="W30" s="21">
        <v>0</v>
      </c>
      <c r="X30" s="24">
        <v>0</v>
      </c>
      <c r="Y30" s="21">
        <v>0</v>
      </c>
      <c r="Z30" s="24">
        <v>0</v>
      </c>
      <c r="AA30" s="23">
        <v>106</v>
      </c>
      <c r="AB30" s="24">
        <v>41618</v>
      </c>
    </row>
    <row r="31" spans="1:28" s="6" customFormat="1" ht="16.5" customHeight="1">
      <c r="A31" s="19"/>
      <c r="B31" s="20" t="s">
        <v>2</v>
      </c>
      <c r="C31" s="23">
        <v>5209</v>
      </c>
      <c r="D31" s="43">
        <v>587578</v>
      </c>
      <c r="E31" s="38">
        <v>3751</v>
      </c>
      <c r="F31" s="22">
        <v>231511</v>
      </c>
      <c r="G31" s="23">
        <v>1274</v>
      </c>
      <c r="H31" s="24">
        <v>285641</v>
      </c>
      <c r="I31" s="21">
        <v>0</v>
      </c>
      <c r="J31" s="24">
        <v>0</v>
      </c>
      <c r="K31" s="23">
        <v>5</v>
      </c>
      <c r="L31" s="24">
        <v>1080</v>
      </c>
      <c r="M31" s="21">
        <v>79</v>
      </c>
      <c r="N31" s="24">
        <v>23171</v>
      </c>
      <c r="O31" s="23">
        <v>0</v>
      </c>
      <c r="P31" s="24">
        <v>0</v>
      </c>
      <c r="Q31" s="46">
        <v>10</v>
      </c>
      <c r="R31" s="24">
        <v>20135</v>
      </c>
      <c r="S31" s="45">
        <v>0</v>
      </c>
      <c r="T31" s="24">
        <v>7</v>
      </c>
      <c r="U31" s="21">
        <v>0</v>
      </c>
      <c r="V31" s="24">
        <v>0</v>
      </c>
      <c r="W31" s="23">
        <v>0</v>
      </c>
      <c r="X31" s="24">
        <v>0</v>
      </c>
      <c r="Y31" s="21">
        <v>0</v>
      </c>
      <c r="Z31" s="24">
        <v>0</v>
      </c>
      <c r="AA31" s="23">
        <v>90</v>
      </c>
      <c r="AB31" s="24">
        <v>26033</v>
      </c>
    </row>
    <row r="32" spans="1:28" s="6" customFormat="1" ht="16.5" customHeight="1">
      <c r="A32" s="19"/>
      <c r="B32" s="20" t="s">
        <v>3</v>
      </c>
      <c r="C32" s="23">
        <v>6845</v>
      </c>
      <c r="D32" s="43">
        <v>695212</v>
      </c>
      <c r="E32" s="38">
        <v>5481</v>
      </c>
      <c r="F32" s="22">
        <v>288023</v>
      </c>
      <c r="G32" s="23">
        <v>1166</v>
      </c>
      <c r="H32" s="24">
        <v>326478</v>
      </c>
      <c r="I32" s="21">
        <v>0</v>
      </c>
      <c r="J32" s="24">
        <v>0</v>
      </c>
      <c r="K32" s="23">
        <v>6</v>
      </c>
      <c r="L32" s="24">
        <v>1272</v>
      </c>
      <c r="M32" s="21">
        <v>76</v>
      </c>
      <c r="N32" s="24">
        <v>21129</v>
      </c>
      <c r="O32" s="23">
        <v>0</v>
      </c>
      <c r="P32" s="24">
        <v>0</v>
      </c>
      <c r="Q32" s="21">
        <v>20</v>
      </c>
      <c r="R32" s="24">
        <v>32223</v>
      </c>
      <c r="S32" s="78">
        <v>0</v>
      </c>
      <c r="T32" s="24">
        <v>48</v>
      </c>
      <c r="U32" s="21">
        <v>0</v>
      </c>
      <c r="V32" s="24">
        <v>0</v>
      </c>
      <c r="W32" s="23">
        <v>0</v>
      </c>
      <c r="X32" s="24">
        <v>0</v>
      </c>
      <c r="Y32" s="21">
        <v>0</v>
      </c>
      <c r="Z32" s="24">
        <v>0</v>
      </c>
      <c r="AA32" s="23">
        <v>96</v>
      </c>
      <c r="AB32" s="24">
        <v>26039</v>
      </c>
    </row>
    <row r="33" spans="1:28" s="6" customFormat="1" ht="16.5" customHeight="1">
      <c r="A33" s="19"/>
      <c r="B33" s="20" t="s">
        <v>4</v>
      </c>
      <c r="C33" s="23">
        <v>2918</v>
      </c>
      <c r="D33" s="43">
        <v>425928</v>
      </c>
      <c r="E33" s="38">
        <v>1921</v>
      </c>
      <c r="F33" s="22">
        <v>102869</v>
      </c>
      <c r="G33" s="23">
        <v>676</v>
      </c>
      <c r="H33" s="24">
        <v>191522</v>
      </c>
      <c r="I33" s="68">
        <v>0</v>
      </c>
      <c r="J33" s="69">
        <v>0</v>
      </c>
      <c r="K33" s="23">
        <v>3</v>
      </c>
      <c r="L33" s="24">
        <v>612</v>
      </c>
      <c r="M33" s="21">
        <v>71</v>
      </c>
      <c r="N33" s="24">
        <v>19209</v>
      </c>
      <c r="O33" s="23">
        <v>4</v>
      </c>
      <c r="P33" s="24">
        <v>4583</v>
      </c>
      <c r="Q33" s="21">
        <v>14</v>
      </c>
      <c r="R33" s="24">
        <v>29220</v>
      </c>
      <c r="S33" s="78">
        <v>0</v>
      </c>
      <c r="T33" s="24">
        <v>9</v>
      </c>
      <c r="U33" s="68">
        <v>0</v>
      </c>
      <c r="V33" s="69">
        <v>0</v>
      </c>
      <c r="W33" s="70">
        <v>0</v>
      </c>
      <c r="X33" s="69">
        <v>0</v>
      </c>
      <c r="Y33" s="68">
        <v>0</v>
      </c>
      <c r="Z33" s="69">
        <v>0</v>
      </c>
      <c r="AA33" s="23">
        <v>229</v>
      </c>
      <c r="AB33" s="24">
        <v>77904</v>
      </c>
    </row>
    <row r="34" spans="1:28" s="6" customFormat="1" ht="16.5" customHeight="1">
      <c r="A34" s="19"/>
      <c r="B34" s="20" t="s">
        <v>5</v>
      </c>
      <c r="C34" s="23">
        <v>3210</v>
      </c>
      <c r="D34" s="43">
        <v>462608</v>
      </c>
      <c r="E34" s="38">
        <v>1954</v>
      </c>
      <c r="F34" s="22">
        <v>105842</v>
      </c>
      <c r="G34" s="23">
        <v>794</v>
      </c>
      <c r="H34" s="24">
        <v>160868</v>
      </c>
      <c r="I34" s="21">
        <v>0</v>
      </c>
      <c r="J34" s="24">
        <v>0</v>
      </c>
      <c r="K34" s="23">
        <v>3</v>
      </c>
      <c r="L34" s="24">
        <v>685</v>
      </c>
      <c r="M34" s="21">
        <v>75</v>
      </c>
      <c r="N34" s="24">
        <v>19273</v>
      </c>
      <c r="O34" s="23">
        <v>31</v>
      </c>
      <c r="P34" s="24">
        <v>16420</v>
      </c>
      <c r="Q34" s="21">
        <v>25</v>
      </c>
      <c r="R34" s="24">
        <v>48613</v>
      </c>
      <c r="S34" s="78">
        <v>0</v>
      </c>
      <c r="T34" s="24">
        <v>4</v>
      </c>
      <c r="U34" s="78">
        <v>0</v>
      </c>
      <c r="V34" s="24">
        <v>3</v>
      </c>
      <c r="W34" s="23">
        <v>15</v>
      </c>
      <c r="X34" s="24">
        <v>867</v>
      </c>
      <c r="Y34" s="21">
        <v>0</v>
      </c>
      <c r="Z34" s="24">
        <v>0</v>
      </c>
      <c r="AA34" s="23">
        <v>313</v>
      </c>
      <c r="AB34" s="24">
        <v>110033</v>
      </c>
    </row>
    <row r="35" spans="1:28" s="6" customFormat="1" ht="16.5" customHeight="1">
      <c r="A35" s="19"/>
      <c r="B35" s="20" t="s">
        <v>6</v>
      </c>
      <c r="C35" s="23">
        <v>778</v>
      </c>
      <c r="D35" s="43">
        <v>137508</v>
      </c>
      <c r="E35" s="38">
        <v>218</v>
      </c>
      <c r="F35" s="22">
        <v>12252</v>
      </c>
      <c r="G35" s="23">
        <v>62</v>
      </c>
      <c r="H35" s="24">
        <v>12353</v>
      </c>
      <c r="I35" s="21">
        <v>0</v>
      </c>
      <c r="J35" s="24">
        <v>0</v>
      </c>
      <c r="K35" s="53">
        <v>0</v>
      </c>
      <c r="L35" s="24">
        <v>47</v>
      </c>
      <c r="M35" s="21">
        <v>36</v>
      </c>
      <c r="N35" s="24">
        <v>8323</v>
      </c>
      <c r="O35" s="23">
        <v>32</v>
      </c>
      <c r="P35" s="24">
        <v>19291</v>
      </c>
      <c r="Q35" s="53">
        <v>8</v>
      </c>
      <c r="R35" s="24">
        <v>14211</v>
      </c>
      <c r="S35" s="45">
        <v>0</v>
      </c>
      <c r="T35" s="24">
        <v>3</v>
      </c>
      <c r="U35" s="21">
        <v>18</v>
      </c>
      <c r="V35" s="24">
        <v>1809</v>
      </c>
      <c r="W35" s="23">
        <v>181</v>
      </c>
      <c r="X35" s="24">
        <v>11351</v>
      </c>
      <c r="Y35" s="21">
        <v>0</v>
      </c>
      <c r="Z35" s="24">
        <v>0</v>
      </c>
      <c r="AA35" s="23">
        <v>223</v>
      </c>
      <c r="AB35" s="24">
        <v>57868</v>
      </c>
    </row>
    <row r="36" spans="1:28" s="6" customFormat="1" ht="16.5" customHeight="1">
      <c r="A36" s="19"/>
      <c r="B36" s="20" t="s">
        <v>7</v>
      </c>
      <c r="C36" s="23">
        <v>1184</v>
      </c>
      <c r="D36" s="43">
        <v>129586</v>
      </c>
      <c r="E36" s="38">
        <v>22</v>
      </c>
      <c r="F36" s="22">
        <v>1465</v>
      </c>
      <c r="G36" s="23">
        <v>32</v>
      </c>
      <c r="H36" s="24">
        <v>5191</v>
      </c>
      <c r="I36" s="21">
        <v>3</v>
      </c>
      <c r="J36" s="24">
        <v>14682</v>
      </c>
      <c r="K36" s="45">
        <v>0</v>
      </c>
      <c r="L36" s="24">
        <v>2</v>
      </c>
      <c r="M36" s="21">
        <v>23</v>
      </c>
      <c r="N36" s="24">
        <v>7512</v>
      </c>
      <c r="O36" s="23">
        <v>0</v>
      </c>
      <c r="P36" s="24">
        <v>0</v>
      </c>
      <c r="Q36" s="21">
        <v>4</v>
      </c>
      <c r="R36" s="24">
        <v>8486</v>
      </c>
      <c r="S36" s="80">
        <v>0</v>
      </c>
      <c r="T36" s="24">
        <v>1</v>
      </c>
      <c r="U36" s="80">
        <v>50</v>
      </c>
      <c r="V36" s="24">
        <v>2860</v>
      </c>
      <c r="W36" s="21">
        <v>903</v>
      </c>
      <c r="X36" s="24">
        <v>69954</v>
      </c>
      <c r="Y36" s="21">
        <v>0</v>
      </c>
      <c r="Z36" s="24">
        <v>0</v>
      </c>
      <c r="AA36" s="23">
        <v>147</v>
      </c>
      <c r="AB36" s="24">
        <v>19433</v>
      </c>
    </row>
    <row r="37" spans="1:28" s="6" customFormat="1" ht="16.5" customHeight="1">
      <c r="A37" s="19"/>
      <c r="B37" s="20" t="s">
        <v>8</v>
      </c>
      <c r="C37" s="23">
        <v>9727</v>
      </c>
      <c r="D37" s="43">
        <v>561793</v>
      </c>
      <c r="E37" s="38">
        <v>3</v>
      </c>
      <c r="F37" s="22">
        <v>194</v>
      </c>
      <c r="G37" s="23">
        <v>5</v>
      </c>
      <c r="H37" s="24">
        <v>726</v>
      </c>
      <c r="I37" s="21">
        <v>221</v>
      </c>
      <c r="J37" s="24">
        <v>91218</v>
      </c>
      <c r="K37" s="45">
        <v>0</v>
      </c>
      <c r="L37" s="24">
        <v>2</v>
      </c>
      <c r="M37" s="21">
        <v>7</v>
      </c>
      <c r="N37" s="24">
        <v>2714</v>
      </c>
      <c r="O37" s="23">
        <v>0</v>
      </c>
      <c r="P37" s="24">
        <v>0</v>
      </c>
      <c r="Q37" s="21">
        <v>5</v>
      </c>
      <c r="R37" s="24">
        <v>13166</v>
      </c>
      <c r="S37" s="21">
        <v>0</v>
      </c>
      <c r="T37" s="22">
        <v>0</v>
      </c>
      <c r="U37" s="68">
        <v>0</v>
      </c>
      <c r="V37" s="24">
        <v>0</v>
      </c>
      <c r="W37" s="23">
        <v>9363</v>
      </c>
      <c r="X37" s="24">
        <v>438017</v>
      </c>
      <c r="Y37" s="21">
        <v>0</v>
      </c>
      <c r="Z37" s="24">
        <v>0</v>
      </c>
      <c r="AA37" s="23">
        <v>123</v>
      </c>
      <c r="AB37" s="24">
        <v>15756</v>
      </c>
    </row>
    <row r="38" spans="1:28" s="6" customFormat="1" ht="16.5" customHeight="1">
      <c r="A38" s="19"/>
      <c r="B38" s="20" t="s">
        <v>9</v>
      </c>
      <c r="C38" s="23">
        <v>54563</v>
      </c>
      <c r="D38" s="43">
        <v>2726382</v>
      </c>
      <c r="E38" s="38">
        <v>11332</v>
      </c>
      <c r="F38" s="22">
        <v>406076</v>
      </c>
      <c r="G38" s="23">
        <v>867</v>
      </c>
      <c r="H38" s="24">
        <v>180920</v>
      </c>
      <c r="I38" s="21">
        <v>760</v>
      </c>
      <c r="J38" s="24">
        <v>291808</v>
      </c>
      <c r="K38" s="23">
        <v>5</v>
      </c>
      <c r="L38" s="24">
        <v>2119</v>
      </c>
      <c r="M38" s="21">
        <v>57</v>
      </c>
      <c r="N38" s="24">
        <v>11526</v>
      </c>
      <c r="O38" s="23">
        <v>10</v>
      </c>
      <c r="P38" s="24">
        <v>8229</v>
      </c>
      <c r="Q38" s="21">
        <v>13</v>
      </c>
      <c r="R38" s="24">
        <v>26469</v>
      </c>
      <c r="S38" s="21">
        <v>0</v>
      </c>
      <c r="T38" s="22">
        <v>0</v>
      </c>
      <c r="U38" s="45">
        <v>2071</v>
      </c>
      <c r="V38" s="24">
        <v>80040</v>
      </c>
      <c r="W38" s="23">
        <v>38823</v>
      </c>
      <c r="X38" s="24">
        <v>1549379</v>
      </c>
      <c r="Y38" s="21">
        <v>0</v>
      </c>
      <c r="Z38" s="24">
        <v>0</v>
      </c>
      <c r="AA38" s="23">
        <v>625</v>
      </c>
      <c r="AB38" s="24">
        <v>169816</v>
      </c>
    </row>
    <row r="39" spans="1:28" s="6" customFormat="1" ht="16.5" customHeight="1">
      <c r="A39" s="19"/>
      <c r="B39" s="20" t="s">
        <v>10</v>
      </c>
      <c r="C39" s="23">
        <v>42409</v>
      </c>
      <c r="D39" s="43">
        <v>2588486</v>
      </c>
      <c r="E39" s="38">
        <v>7005</v>
      </c>
      <c r="F39" s="22">
        <v>289763</v>
      </c>
      <c r="G39" s="23">
        <v>571</v>
      </c>
      <c r="H39" s="24">
        <v>178093</v>
      </c>
      <c r="I39" s="21">
        <v>1160</v>
      </c>
      <c r="J39" s="24">
        <v>321561</v>
      </c>
      <c r="K39" s="23">
        <v>5</v>
      </c>
      <c r="L39" s="24">
        <v>2481</v>
      </c>
      <c r="M39" s="21">
        <v>61</v>
      </c>
      <c r="N39" s="24">
        <v>12086</v>
      </c>
      <c r="O39" s="23">
        <v>3</v>
      </c>
      <c r="P39" s="24">
        <v>2577</v>
      </c>
      <c r="Q39" s="21">
        <v>10</v>
      </c>
      <c r="R39" s="24">
        <v>17393</v>
      </c>
      <c r="S39" s="80">
        <v>0</v>
      </c>
      <c r="T39" s="24">
        <v>2</v>
      </c>
      <c r="U39" s="46">
        <v>5514</v>
      </c>
      <c r="V39" s="24">
        <v>574854</v>
      </c>
      <c r="W39" s="23">
        <v>27472</v>
      </c>
      <c r="X39" s="24">
        <v>1096019</v>
      </c>
      <c r="Y39" s="21">
        <v>8</v>
      </c>
      <c r="Z39" s="24">
        <v>14270</v>
      </c>
      <c r="AA39" s="23">
        <v>600</v>
      </c>
      <c r="AB39" s="24">
        <v>79387</v>
      </c>
    </row>
    <row r="40" spans="1:28" s="6" customFormat="1" ht="16.5" customHeight="1">
      <c r="A40" s="19"/>
      <c r="B40" s="20" t="s">
        <v>11</v>
      </c>
      <c r="C40" s="23">
        <v>4652</v>
      </c>
      <c r="D40" s="43">
        <v>788292</v>
      </c>
      <c r="E40" s="38">
        <v>2817</v>
      </c>
      <c r="F40" s="22">
        <v>180289</v>
      </c>
      <c r="G40" s="23">
        <v>661</v>
      </c>
      <c r="H40" s="24">
        <v>212835</v>
      </c>
      <c r="I40" s="21">
        <v>595</v>
      </c>
      <c r="J40" s="24">
        <v>107146</v>
      </c>
      <c r="K40" s="23">
        <v>7</v>
      </c>
      <c r="L40" s="24">
        <v>3155</v>
      </c>
      <c r="M40" s="21">
        <v>69</v>
      </c>
      <c r="N40" s="24">
        <v>37388</v>
      </c>
      <c r="O40" s="78">
        <v>0</v>
      </c>
      <c r="P40" s="24">
        <v>8</v>
      </c>
      <c r="Q40" s="21">
        <v>8</v>
      </c>
      <c r="R40" s="24">
        <v>16241</v>
      </c>
      <c r="S40" s="78">
        <v>0</v>
      </c>
      <c r="T40" s="24">
        <v>12</v>
      </c>
      <c r="U40" s="78">
        <v>0</v>
      </c>
      <c r="V40" s="24">
        <v>1</v>
      </c>
      <c r="W40" s="23">
        <v>35</v>
      </c>
      <c r="X40" s="24">
        <v>5322</v>
      </c>
      <c r="Y40" s="21">
        <v>92</v>
      </c>
      <c r="Z40" s="24">
        <v>190447</v>
      </c>
      <c r="AA40" s="23">
        <v>368</v>
      </c>
      <c r="AB40" s="24">
        <v>35448</v>
      </c>
    </row>
    <row r="41" spans="1:28" s="6" customFormat="1" ht="16.5" customHeight="1">
      <c r="A41" s="25"/>
      <c r="B41" s="26" t="s">
        <v>12</v>
      </c>
      <c r="C41" s="31">
        <v>3387</v>
      </c>
      <c r="D41" s="44">
        <v>553064</v>
      </c>
      <c r="E41" s="39">
        <v>2626</v>
      </c>
      <c r="F41" s="34">
        <v>246186</v>
      </c>
      <c r="G41" s="31">
        <v>612</v>
      </c>
      <c r="H41" s="32">
        <v>192697</v>
      </c>
      <c r="I41" s="33">
        <v>0</v>
      </c>
      <c r="J41" s="32">
        <v>0</v>
      </c>
      <c r="K41" s="31">
        <v>5</v>
      </c>
      <c r="L41" s="32">
        <v>1303</v>
      </c>
      <c r="M41" s="33">
        <v>71</v>
      </c>
      <c r="N41" s="32">
        <v>49026</v>
      </c>
      <c r="O41" s="31">
        <v>0</v>
      </c>
      <c r="P41" s="32">
        <v>0</v>
      </c>
      <c r="Q41" s="33">
        <v>5</v>
      </c>
      <c r="R41" s="32">
        <v>11698</v>
      </c>
      <c r="S41" s="79">
        <v>0</v>
      </c>
      <c r="T41" s="32">
        <v>32</v>
      </c>
      <c r="U41" s="33">
        <v>0</v>
      </c>
      <c r="V41" s="32">
        <v>0</v>
      </c>
      <c r="W41" s="33">
        <v>0</v>
      </c>
      <c r="X41" s="32">
        <v>0</v>
      </c>
      <c r="Y41" s="33">
        <v>0</v>
      </c>
      <c r="Z41" s="32">
        <v>0</v>
      </c>
      <c r="AA41" s="31">
        <v>68</v>
      </c>
      <c r="AB41" s="32">
        <v>52122</v>
      </c>
    </row>
    <row r="42" spans="1:4" s="74" customFormat="1" ht="16.5" customHeight="1" thickBot="1">
      <c r="A42" s="76" t="s">
        <v>57</v>
      </c>
      <c r="B42" s="77"/>
      <c r="C42" s="77"/>
      <c r="D42" s="77"/>
    </row>
    <row r="43" spans="1:28" s="72" customFormat="1" ht="13.5">
      <c r="A43" s="114" t="str">
        <f>"2017（平成29）年"&amp;COUNTA(E30:E41)&amp;"月迄"</f>
        <v>2017（平成29）年12月迄</v>
      </c>
      <c r="B43" s="115"/>
      <c r="C43" s="71">
        <f>SUM(C30:C41)-1</f>
        <v>139678</v>
      </c>
      <c r="D43" s="71">
        <f>SUM(D30:D41)</f>
        <v>10203667</v>
      </c>
      <c r="E43" s="71">
        <f>SUM(E30:E41)</f>
        <v>41087</v>
      </c>
      <c r="F43" s="71">
        <f>SUM(F30:F41)-1</f>
        <v>2165141</v>
      </c>
      <c r="G43" s="71">
        <f>SUM(G30:G41)+3</f>
        <v>7404</v>
      </c>
      <c r="H43" s="71">
        <f>SUM(H30:H41)-1</f>
        <v>1918351</v>
      </c>
      <c r="I43" s="71">
        <f>SUM(I30:I41)+1</f>
        <v>2740</v>
      </c>
      <c r="J43" s="71">
        <f>SUM(J30:J41)</f>
        <v>826415</v>
      </c>
      <c r="K43" s="71">
        <f>SUM(K30:K41)+1</f>
        <v>45</v>
      </c>
      <c r="L43" s="71">
        <f>SUM(L30:L41)</f>
        <v>13887</v>
      </c>
      <c r="M43" s="71">
        <f>SUM(M30:M41)+2</f>
        <v>665</v>
      </c>
      <c r="N43" s="71">
        <f>SUM(N30:N41)-1</f>
        <v>225402</v>
      </c>
      <c r="O43" s="71">
        <f>SUM(O30:O41)-1</f>
        <v>79</v>
      </c>
      <c r="P43" s="71">
        <f>SUM(P30:P41)+1</f>
        <v>51109</v>
      </c>
      <c r="Q43" s="71">
        <f>SUM(Q30:Q41)-1</f>
        <v>131</v>
      </c>
      <c r="R43" s="71">
        <f>SUM(R30:R41)</f>
        <v>256582</v>
      </c>
      <c r="S43" s="71">
        <f aca="true" t="shared" si="0" ref="S43:Z43">SUM(S30:S41)</f>
        <v>0</v>
      </c>
      <c r="T43" s="71">
        <f>SUM(T30:T41)+1</f>
        <v>129</v>
      </c>
      <c r="U43" s="71">
        <f t="shared" si="0"/>
        <v>7653</v>
      </c>
      <c r="V43" s="71">
        <f>SUM(V30:V41)-1</f>
        <v>659566</v>
      </c>
      <c r="W43" s="71">
        <f>SUM(W30:W41)+1</f>
        <v>76793</v>
      </c>
      <c r="X43" s="71">
        <f>SUM(X30:X41)</f>
        <v>3170909</v>
      </c>
      <c r="Y43" s="71">
        <f t="shared" si="0"/>
        <v>100</v>
      </c>
      <c r="Z43" s="71">
        <f t="shared" si="0"/>
        <v>204717</v>
      </c>
      <c r="AA43" s="71">
        <f>SUM(AA30:AA41)-7</f>
        <v>2981</v>
      </c>
      <c r="AB43" s="71">
        <f>SUM(AB30:AB41)+2</f>
        <v>711459</v>
      </c>
    </row>
    <row r="44" spans="1:28" s="74" customFormat="1" ht="13.5" customHeight="1">
      <c r="A44" s="116" t="str">
        <f>"前年"&amp;COUNTA(E30:E41)&amp;"月迄"</f>
        <v>前年12月迄</v>
      </c>
      <c r="B44" s="117"/>
      <c r="C44" s="73">
        <f ca="1">SUM(C18:(INDIRECT("c"&amp;COUNT($J30:$J41)+17)))-1</f>
        <v>114207</v>
      </c>
      <c r="D44" s="73">
        <f ca="1">SUM(D18:(INDIRECT("d"&amp;COUNT($J30:$J41)+17)))</f>
        <v>10099229</v>
      </c>
      <c r="E44" s="73">
        <f ca="1">SUM(E18:(INDIRECT("e"&amp;COUNT($J30:$J41)+17)))</f>
        <v>39487</v>
      </c>
      <c r="F44" s="73">
        <f ca="1">SUM(F18:(INDIRECT("f"&amp;COUNT($J30:$J41)+17)))+1</f>
        <v>2296624</v>
      </c>
      <c r="G44" s="73">
        <f ca="1">SUM(G18:(INDIRECT("g"&amp;COUNT($J30:$J41)+17)))</f>
        <v>6378</v>
      </c>
      <c r="H44" s="73">
        <f ca="1">SUM(H18:(INDIRECT("h"&amp;COUNT($J30:$J41)+17)))</f>
        <v>1563395</v>
      </c>
      <c r="I44" s="73">
        <f ca="1">SUM(I18:(INDIRECT("i"&amp;COUNT($J30:$J41)+17)))</f>
        <v>5659</v>
      </c>
      <c r="J44" s="73">
        <f ca="1">SUM(J18:(INDIRECT("j"&amp;COUNT($J30:$J41)+17)))+1</f>
        <v>1004696</v>
      </c>
      <c r="K44" s="73">
        <f ca="1">SUM(K18:(INDIRECT("k"&amp;COUNT($J30:$J41)+17)))+1</f>
        <v>1468</v>
      </c>
      <c r="L44" s="73">
        <f ca="1">SUM(L18:(INDIRECT("l"&amp;COUNT($J30:$J41)+17)))+1</f>
        <v>728045</v>
      </c>
      <c r="M44" s="73">
        <f ca="1">SUM(M18:(INDIRECT("m"&amp;COUNT($J30:$J41)+17)))</f>
        <v>526</v>
      </c>
      <c r="N44" s="73">
        <f ca="1">SUM(N18:(INDIRECT("n"&amp;COUNT($J30:$J41)+17)))</f>
        <v>230714</v>
      </c>
      <c r="O44" s="73">
        <f ca="1">SUM(O18:(INDIRECT("o"&amp;COUNT($J30:$J41)+17)))+1</f>
        <v>138</v>
      </c>
      <c r="P44" s="73">
        <f ca="1">SUM(P18:(INDIRECT("p"&amp;COUNT($J30:$J41)+17)))</f>
        <v>81800</v>
      </c>
      <c r="Q44" s="73">
        <f ca="1">SUM(Q18:(INDIRECT("q"&amp;COUNT($J30:$J41)+17)))-1</f>
        <v>117</v>
      </c>
      <c r="R44" s="73">
        <f ca="1">SUM(R18:(INDIRECT("r"&amp;COUNT($J30:$J41)+17)))+1</f>
        <v>193017</v>
      </c>
      <c r="S44" s="73">
        <v>1</v>
      </c>
      <c r="T44" s="73">
        <f ca="1">SUM(T18:(INDIRECT("t"&amp;COUNT($J30:$J41)+17)))+1</f>
        <v>984</v>
      </c>
      <c r="U44" s="73">
        <f ca="1">SUM(U18:(INDIRECT("u"&amp;COUNT($J30:$J41)+17)))+1</f>
        <v>6661</v>
      </c>
      <c r="V44" s="73">
        <f ca="1">SUM(V18:(INDIRECT("v"&amp;COUNT($J30:$J41)+17)))-1</f>
        <v>761320</v>
      </c>
      <c r="W44" s="73">
        <f ca="1">SUM(W18:(INDIRECT("w"&amp;COUNT($J30:$J41)+17)))+1</f>
        <v>49471</v>
      </c>
      <c r="X44" s="73">
        <f ca="1">SUM(X18:(INDIRECT("x"&amp;COUNT($J30:$J41)+17)))+1</f>
        <v>2096873</v>
      </c>
      <c r="Y44" s="73">
        <f ca="1">SUM(Y18:(INDIRECT("y"&amp;COUNT($J30:$J41)+17)))</f>
        <v>170</v>
      </c>
      <c r="Z44" s="73">
        <f ca="1">SUM(Z18:(INDIRECT("z"&amp;COUNT($J30:$J41)+17)))</f>
        <v>290996</v>
      </c>
      <c r="AA44" s="73">
        <f ca="1">SUM(AA18:(INDIRECT("aa"&amp;COUNT($J30:$J41)+17)))-5</f>
        <v>4131</v>
      </c>
      <c r="AB44" s="73">
        <f ca="1">SUM(AB18:(INDIRECT("ab"&amp;COUNT($J30:$J41)+17)))-5</f>
        <v>850765</v>
      </c>
    </row>
    <row r="45" spans="1:28" s="74" customFormat="1" ht="14.25" thickBot="1">
      <c r="A45" s="118" t="s">
        <v>56</v>
      </c>
      <c r="B45" s="119"/>
      <c r="C45" s="75">
        <f>C43-C44</f>
        <v>25471</v>
      </c>
      <c r="D45" s="75">
        <f aca="true" t="shared" si="1" ref="D45:Z45">D43-D44</f>
        <v>104438</v>
      </c>
      <c r="E45" s="75">
        <f>E43-E44</f>
        <v>1600</v>
      </c>
      <c r="F45" s="75">
        <f t="shared" si="1"/>
        <v>-131483</v>
      </c>
      <c r="G45" s="75">
        <f t="shared" si="1"/>
        <v>1026</v>
      </c>
      <c r="H45" s="75">
        <f>H43-H44</f>
        <v>354956</v>
      </c>
      <c r="I45" s="75">
        <f t="shared" si="1"/>
        <v>-2919</v>
      </c>
      <c r="J45" s="75">
        <f t="shared" si="1"/>
        <v>-178281</v>
      </c>
      <c r="K45" s="75">
        <f t="shared" si="1"/>
        <v>-1423</v>
      </c>
      <c r="L45" s="75">
        <f t="shared" si="1"/>
        <v>-714158</v>
      </c>
      <c r="M45" s="75">
        <f t="shared" si="1"/>
        <v>139</v>
      </c>
      <c r="N45" s="75">
        <f t="shared" si="1"/>
        <v>-5312</v>
      </c>
      <c r="O45" s="75">
        <f t="shared" si="1"/>
        <v>-59</v>
      </c>
      <c r="P45" s="75">
        <f t="shared" si="1"/>
        <v>-30691</v>
      </c>
      <c r="Q45" s="75">
        <f t="shared" si="1"/>
        <v>14</v>
      </c>
      <c r="R45" s="75">
        <f t="shared" si="1"/>
        <v>63565</v>
      </c>
      <c r="S45" s="83">
        <f>S43-S44</f>
        <v>-1</v>
      </c>
      <c r="T45" s="75">
        <f t="shared" si="1"/>
        <v>-855</v>
      </c>
      <c r="U45" s="75">
        <f t="shared" si="1"/>
        <v>992</v>
      </c>
      <c r="V45" s="75">
        <f t="shared" si="1"/>
        <v>-101754</v>
      </c>
      <c r="W45" s="75">
        <f t="shared" si="1"/>
        <v>27322</v>
      </c>
      <c r="X45" s="75">
        <f t="shared" si="1"/>
        <v>1074036</v>
      </c>
      <c r="Y45" s="75">
        <f t="shared" si="1"/>
        <v>-70</v>
      </c>
      <c r="Z45" s="75">
        <f t="shared" si="1"/>
        <v>-86279</v>
      </c>
      <c r="AA45" s="75">
        <f>AA43-AA44</f>
        <v>-1150</v>
      </c>
      <c r="AB45" s="75">
        <f>AB43-AB44</f>
        <v>-139306</v>
      </c>
    </row>
    <row r="46" s="6" customFormat="1" ht="16.5" customHeight="1">
      <c r="A46" s="6" t="s">
        <v>19</v>
      </c>
    </row>
    <row r="47" s="6" customFormat="1" ht="16.5" customHeight="1">
      <c r="A47" s="6" t="s">
        <v>20</v>
      </c>
    </row>
    <row r="48" s="1" customFormat="1" ht="15" customHeight="1"/>
  </sheetData>
  <sheetProtection/>
  <mergeCells count="17">
    <mergeCell ref="Y4:Z4"/>
    <mergeCell ref="AA4:AB4"/>
    <mergeCell ref="A43:B43"/>
    <mergeCell ref="A44:B44"/>
    <mergeCell ref="A45:B45"/>
    <mergeCell ref="M4:N4"/>
    <mergeCell ref="O4:P4"/>
    <mergeCell ref="Q4:R4"/>
    <mergeCell ref="S4:T4"/>
    <mergeCell ref="U4:V4"/>
    <mergeCell ref="W4:X4"/>
    <mergeCell ref="A4:B5"/>
    <mergeCell ref="C4:D4"/>
    <mergeCell ref="E4:F4"/>
    <mergeCell ref="G4:H4"/>
    <mergeCell ref="I4:J4"/>
    <mergeCell ref="K4:L4"/>
  </mergeCells>
  <conditionalFormatting sqref="C43:R45 T44:AB45 T43 V43:AB43">
    <cfRule type="cellIs" priority="1" dxfId="12" operator="equal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4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7.59765625" style="56" customWidth="1"/>
    <col min="2" max="2" width="5.5" style="56" customWidth="1"/>
    <col min="3" max="3" width="10.5" style="56" bestFit="1" customWidth="1"/>
    <col min="4" max="4" width="13.8984375" style="56" bestFit="1" customWidth="1"/>
    <col min="5" max="5" width="8.59765625" style="56" customWidth="1"/>
    <col min="6" max="6" width="11.8984375" style="56" customWidth="1"/>
    <col min="7" max="7" width="8.59765625" style="56" customWidth="1"/>
    <col min="8" max="8" width="11.8984375" style="56" customWidth="1"/>
    <col min="9" max="9" width="8.59765625" style="56" customWidth="1"/>
    <col min="10" max="10" width="11.8984375" style="56" customWidth="1"/>
    <col min="11" max="11" width="8.59765625" style="56" customWidth="1"/>
    <col min="12" max="12" width="11.8984375" style="56" customWidth="1"/>
    <col min="13" max="13" width="8.59765625" style="56" customWidth="1"/>
    <col min="14" max="14" width="11.8984375" style="56" customWidth="1"/>
    <col min="15" max="15" width="8.59765625" style="56" customWidth="1"/>
    <col min="16" max="16" width="11.8984375" style="56" customWidth="1"/>
    <col min="17" max="17" width="8.59765625" style="56" customWidth="1"/>
    <col min="18" max="18" width="11.8984375" style="56" customWidth="1"/>
    <col min="19" max="19" width="8.59765625" style="56" customWidth="1"/>
    <col min="20" max="20" width="11.8984375" style="56" customWidth="1"/>
    <col min="21" max="21" width="8.59765625" style="56" customWidth="1"/>
    <col min="22" max="22" width="11.8984375" style="56" customWidth="1"/>
    <col min="23" max="23" width="8.59765625" style="56" customWidth="1"/>
    <col min="24" max="24" width="11.8984375" style="56" customWidth="1"/>
    <col min="25" max="25" width="8.59765625" style="56" customWidth="1"/>
    <col min="26" max="26" width="11.8984375" style="56" customWidth="1"/>
    <col min="27" max="27" width="8.59765625" style="56" customWidth="1"/>
    <col min="28" max="28" width="11.8984375" style="56" customWidth="1"/>
    <col min="29" max="16384" width="9" style="56" customWidth="1"/>
  </cols>
  <sheetData>
    <row r="1" ht="16.5" customHeight="1">
      <c r="A1" s="5" t="s">
        <v>75</v>
      </c>
    </row>
    <row r="2" ht="13.5" customHeight="1"/>
    <row r="3" s="6" customFormat="1" ht="16.5" customHeight="1">
      <c r="A3" s="6" t="s">
        <v>31</v>
      </c>
    </row>
    <row r="4" spans="1:28" s="6" customFormat="1" ht="18.75" customHeight="1">
      <c r="A4" s="120" t="s">
        <v>18</v>
      </c>
      <c r="B4" s="121"/>
      <c r="C4" s="124" t="s">
        <v>0</v>
      </c>
      <c r="D4" s="125"/>
      <c r="E4" s="126" t="s">
        <v>14</v>
      </c>
      <c r="F4" s="113"/>
      <c r="G4" s="112" t="s">
        <v>21</v>
      </c>
      <c r="H4" s="113"/>
      <c r="I4" s="112" t="s">
        <v>22</v>
      </c>
      <c r="J4" s="113"/>
      <c r="K4" s="112" t="s">
        <v>23</v>
      </c>
      <c r="L4" s="113"/>
      <c r="M4" s="112" t="s">
        <v>24</v>
      </c>
      <c r="N4" s="113"/>
      <c r="O4" s="112" t="s">
        <v>15</v>
      </c>
      <c r="P4" s="113"/>
      <c r="Q4" s="112" t="s">
        <v>25</v>
      </c>
      <c r="R4" s="113"/>
      <c r="S4" s="112" t="s">
        <v>26</v>
      </c>
      <c r="T4" s="113"/>
      <c r="U4" s="112" t="s">
        <v>27</v>
      </c>
      <c r="V4" s="113"/>
      <c r="W4" s="112" t="s">
        <v>28</v>
      </c>
      <c r="X4" s="113"/>
      <c r="Y4" s="112" t="s">
        <v>29</v>
      </c>
      <c r="Z4" s="113"/>
      <c r="AA4" s="112" t="s">
        <v>30</v>
      </c>
      <c r="AB4" s="113"/>
    </row>
    <row r="5" spans="1:28" s="6" customFormat="1" ht="18.75" customHeight="1">
      <c r="A5" s="122"/>
      <c r="B5" s="123"/>
      <c r="C5" s="7" t="s">
        <v>16</v>
      </c>
      <c r="D5" s="40" t="s">
        <v>17</v>
      </c>
      <c r="E5" s="35" t="s">
        <v>16</v>
      </c>
      <c r="F5" s="10" t="s">
        <v>17</v>
      </c>
      <c r="G5" s="7" t="s">
        <v>16</v>
      </c>
      <c r="H5" s="8" t="s">
        <v>17</v>
      </c>
      <c r="I5" s="9" t="s">
        <v>16</v>
      </c>
      <c r="J5" s="10" t="s">
        <v>17</v>
      </c>
      <c r="K5" s="7" t="s">
        <v>16</v>
      </c>
      <c r="L5" s="8" t="s">
        <v>17</v>
      </c>
      <c r="M5" s="9" t="s">
        <v>16</v>
      </c>
      <c r="N5" s="10" t="s">
        <v>17</v>
      </c>
      <c r="O5" s="7" t="s">
        <v>16</v>
      </c>
      <c r="P5" s="8" t="s">
        <v>17</v>
      </c>
      <c r="Q5" s="9" t="s">
        <v>16</v>
      </c>
      <c r="R5" s="8" t="s">
        <v>17</v>
      </c>
      <c r="S5" s="7" t="s">
        <v>16</v>
      </c>
      <c r="T5" s="8" t="s">
        <v>17</v>
      </c>
      <c r="U5" s="9" t="s">
        <v>16</v>
      </c>
      <c r="V5" s="10" t="s">
        <v>17</v>
      </c>
      <c r="W5" s="7" t="s">
        <v>16</v>
      </c>
      <c r="X5" s="8" t="s">
        <v>17</v>
      </c>
      <c r="Y5" s="9" t="s">
        <v>16</v>
      </c>
      <c r="Z5" s="8" t="s">
        <v>17</v>
      </c>
      <c r="AA5" s="7" t="s">
        <v>16</v>
      </c>
      <c r="AB5" s="8" t="s">
        <v>17</v>
      </c>
    </row>
    <row r="6" spans="1:28" s="6" customFormat="1" ht="18.75" customHeight="1">
      <c r="A6" s="11" t="s">
        <v>71</v>
      </c>
      <c r="B6" s="12" t="s">
        <v>13</v>
      </c>
      <c r="C6" s="27">
        <v>114577</v>
      </c>
      <c r="D6" s="41">
        <v>11911835</v>
      </c>
      <c r="E6" s="36">
        <v>53813</v>
      </c>
      <c r="F6" s="30">
        <v>3896698</v>
      </c>
      <c r="G6" s="27">
        <v>3869</v>
      </c>
      <c r="H6" s="28">
        <v>966494</v>
      </c>
      <c r="I6" s="29">
        <v>28526</v>
      </c>
      <c r="J6" s="28">
        <v>1985504</v>
      </c>
      <c r="K6" s="27">
        <v>3602</v>
      </c>
      <c r="L6" s="28">
        <v>587516</v>
      </c>
      <c r="M6" s="29">
        <v>1345</v>
      </c>
      <c r="N6" s="28">
        <v>705161</v>
      </c>
      <c r="O6" s="27">
        <v>1579</v>
      </c>
      <c r="P6" s="28">
        <v>856075</v>
      </c>
      <c r="Q6" s="29">
        <v>118</v>
      </c>
      <c r="R6" s="28">
        <v>212500</v>
      </c>
      <c r="S6" s="27">
        <v>741</v>
      </c>
      <c r="T6" s="28">
        <v>140828</v>
      </c>
      <c r="U6" s="29">
        <v>3364</v>
      </c>
      <c r="V6" s="28">
        <v>78773</v>
      </c>
      <c r="W6" s="27">
        <v>2280</v>
      </c>
      <c r="X6" s="28">
        <v>43754</v>
      </c>
      <c r="Y6" s="29">
        <v>251</v>
      </c>
      <c r="Z6" s="28">
        <v>257030</v>
      </c>
      <c r="AA6" s="27">
        <v>15089</v>
      </c>
      <c r="AB6" s="28">
        <v>2181502</v>
      </c>
    </row>
    <row r="7" spans="1:28" s="6" customFormat="1" ht="18.75" customHeight="1">
      <c r="A7" s="19" t="s">
        <v>70</v>
      </c>
      <c r="B7" s="48" t="s">
        <v>13</v>
      </c>
      <c r="C7" s="23">
        <v>137948</v>
      </c>
      <c r="D7" s="43">
        <v>14562957</v>
      </c>
      <c r="E7" s="38">
        <v>55786</v>
      </c>
      <c r="F7" s="22">
        <v>4489157</v>
      </c>
      <c r="G7" s="23">
        <v>3310</v>
      </c>
      <c r="H7" s="24">
        <v>992926</v>
      </c>
      <c r="I7" s="21">
        <v>27899</v>
      </c>
      <c r="J7" s="24">
        <v>2081572</v>
      </c>
      <c r="K7" s="23">
        <v>3869</v>
      </c>
      <c r="L7" s="24">
        <v>893617</v>
      </c>
      <c r="M7" s="21">
        <v>1490</v>
      </c>
      <c r="N7" s="24">
        <v>754333</v>
      </c>
      <c r="O7" s="23">
        <v>1487</v>
      </c>
      <c r="P7" s="24">
        <v>916744</v>
      </c>
      <c r="Q7" s="21">
        <v>108</v>
      </c>
      <c r="R7" s="24">
        <v>195023</v>
      </c>
      <c r="S7" s="23">
        <v>725</v>
      </c>
      <c r="T7" s="24">
        <v>89569</v>
      </c>
      <c r="U7" s="21">
        <v>1891</v>
      </c>
      <c r="V7" s="24">
        <v>144705</v>
      </c>
      <c r="W7" s="23">
        <v>16112</v>
      </c>
      <c r="X7" s="24">
        <v>382795</v>
      </c>
      <c r="Y7" s="46">
        <v>360</v>
      </c>
      <c r="Z7" s="24">
        <v>326991</v>
      </c>
      <c r="AA7" s="23">
        <v>24912</v>
      </c>
      <c r="AB7" s="24">
        <v>3295525</v>
      </c>
    </row>
    <row r="8" spans="1:28" s="6" customFormat="1" ht="18.75" customHeight="1">
      <c r="A8" s="19" t="s">
        <v>69</v>
      </c>
      <c r="B8" s="48" t="s">
        <v>13</v>
      </c>
      <c r="C8" s="23">
        <v>107569</v>
      </c>
      <c r="D8" s="43">
        <v>12723109</v>
      </c>
      <c r="E8" s="38">
        <v>50408</v>
      </c>
      <c r="F8" s="22">
        <v>4285036</v>
      </c>
      <c r="G8" s="23">
        <v>3511</v>
      </c>
      <c r="H8" s="24">
        <v>1040834</v>
      </c>
      <c r="I8" s="21">
        <v>34098</v>
      </c>
      <c r="J8" s="24">
        <v>2522079</v>
      </c>
      <c r="K8" s="23">
        <v>4992</v>
      </c>
      <c r="L8" s="24">
        <v>660467</v>
      </c>
      <c r="M8" s="21">
        <v>1176</v>
      </c>
      <c r="N8" s="24">
        <v>718806</v>
      </c>
      <c r="O8" s="23">
        <v>1422</v>
      </c>
      <c r="P8" s="24">
        <v>853981</v>
      </c>
      <c r="Q8" s="21">
        <v>103</v>
      </c>
      <c r="R8" s="24">
        <v>171971</v>
      </c>
      <c r="S8" s="23">
        <v>482</v>
      </c>
      <c r="T8" s="24">
        <v>114497</v>
      </c>
      <c r="U8" s="21">
        <v>794</v>
      </c>
      <c r="V8" s="24">
        <v>72318</v>
      </c>
      <c r="W8" s="23">
        <v>52</v>
      </c>
      <c r="X8" s="24">
        <v>2180</v>
      </c>
      <c r="Y8" s="46">
        <v>250</v>
      </c>
      <c r="Z8" s="24">
        <v>366073</v>
      </c>
      <c r="AA8" s="23">
        <v>10282</v>
      </c>
      <c r="AB8" s="24">
        <v>1914866</v>
      </c>
    </row>
    <row r="9" spans="1:28" s="6" customFormat="1" ht="18.75" customHeight="1">
      <c r="A9" s="19" t="s">
        <v>68</v>
      </c>
      <c r="B9" s="48" t="s">
        <v>13</v>
      </c>
      <c r="C9" s="23">
        <v>125679</v>
      </c>
      <c r="D9" s="43">
        <v>15281221</v>
      </c>
      <c r="E9" s="38">
        <v>66253</v>
      </c>
      <c r="F9" s="22">
        <v>6179462</v>
      </c>
      <c r="G9" s="23">
        <v>3669</v>
      </c>
      <c r="H9" s="24">
        <v>1200338</v>
      </c>
      <c r="I9" s="21">
        <v>30698</v>
      </c>
      <c r="J9" s="24">
        <v>2575115</v>
      </c>
      <c r="K9" s="23">
        <v>1852</v>
      </c>
      <c r="L9" s="24">
        <v>257255</v>
      </c>
      <c r="M9" s="21">
        <v>972</v>
      </c>
      <c r="N9" s="24">
        <v>586883</v>
      </c>
      <c r="O9" s="23">
        <v>1462</v>
      </c>
      <c r="P9" s="24">
        <v>895714</v>
      </c>
      <c r="Q9" s="21">
        <v>32</v>
      </c>
      <c r="R9" s="24">
        <v>54093</v>
      </c>
      <c r="S9" s="23">
        <v>233</v>
      </c>
      <c r="T9" s="24">
        <v>70889</v>
      </c>
      <c r="U9" s="21">
        <v>19</v>
      </c>
      <c r="V9" s="24">
        <v>2464</v>
      </c>
      <c r="W9" s="23">
        <v>681</v>
      </c>
      <c r="X9" s="24">
        <v>20030</v>
      </c>
      <c r="Y9" s="46">
        <v>102</v>
      </c>
      <c r="Z9" s="24">
        <v>191992</v>
      </c>
      <c r="AA9" s="23">
        <v>19706</v>
      </c>
      <c r="AB9" s="24">
        <v>3246986</v>
      </c>
    </row>
    <row r="10" spans="1:28" s="6" customFormat="1" ht="18.75" customHeight="1">
      <c r="A10" s="19" t="s">
        <v>67</v>
      </c>
      <c r="B10" s="48" t="s">
        <v>13</v>
      </c>
      <c r="C10" s="23">
        <v>128052</v>
      </c>
      <c r="D10" s="43">
        <v>12154590</v>
      </c>
      <c r="E10" s="38">
        <v>55825</v>
      </c>
      <c r="F10" s="22">
        <v>3325149</v>
      </c>
      <c r="G10" s="23">
        <v>3603</v>
      </c>
      <c r="H10" s="24">
        <v>926514</v>
      </c>
      <c r="I10" s="21">
        <v>28797</v>
      </c>
      <c r="J10" s="24">
        <v>2548975</v>
      </c>
      <c r="K10" s="23">
        <v>4772</v>
      </c>
      <c r="L10" s="24">
        <v>619477</v>
      </c>
      <c r="M10" s="21">
        <v>863</v>
      </c>
      <c r="N10" s="24">
        <v>414570</v>
      </c>
      <c r="O10" s="23">
        <v>1019</v>
      </c>
      <c r="P10" s="24">
        <v>615953</v>
      </c>
      <c r="Q10" s="21">
        <v>72</v>
      </c>
      <c r="R10" s="24">
        <v>121419</v>
      </c>
      <c r="S10" s="23">
        <v>958</v>
      </c>
      <c r="T10" s="24">
        <v>176614</v>
      </c>
      <c r="U10" s="21">
        <v>0</v>
      </c>
      <c r="V10" s="24">
        <v>0</v>
      </c>
      <c r="W10" s="23">
        <v>7138</v>
      </c>
      <c r="X10" s="24">
        <v>123775</v>
      </c>
      <c r="Y10" s="46">
        <v>252</v>
      </c>
      <c r="Z10" s="24">
        <v>250170</v>
      </c>
      <c r="AA10" s="23">
        <v>24753</v>
      </c>
      <c r="AB10" s="24">
        <v>3031974</v>
      </c>
    </row>
    <row r="11" spans="1:28" s="6" customFormat="1" ht="18.75" customHeight="1">
      <c r="A11" s="19" t="s">
        <v>66</v>
      </c>
      <c r="B11" s="48" t="s">
        <v>13</v>
      </c>
      <c r="C11" s="23">
        <v>113990</v>
      </c>
      <c r="D11" s="43">
        <v>11357761</v>
      </c>
      <c r="E11" s="38">
        <v>64240</v>
      </c>
      <c r="F11" s="22">
        <v>4297828</v>
      </c>
      <c r="G11" s="23">
        <v>4715</v>
      </c>
      <c r="H11" s="24">
        <v>1228507</v>
      </c>
      <c r="I11" s="21">
        <v>18531</v>
      </c>
      <c r="J11" s="24">
        <v>2052722</v>
      </c>
      <c r="K11" s="23">
        <v>3085</v>
      </c>
      <c r="L11" s="24">
        <v>713613</v>
      </c>
      <c r="M11" s="21">
        <v>866</v>
      </c>
      <c r="N11" s="24">
        <v>331092</v>
      </c>
      <c r="O11" s="23">
        <v>1282</v>
      </c>
      <c r="P11" s="24">
        <v>899729</v>
      </c>
      <c r="Q11" s="21">
        <v>58</v>
      </c>
      <c r="R11" s="24">
        <v>75496</v>
      </c>
      <c r="S11" s="23">
        <v>429</v>
      </c>
      <c r="T11" s="24">
        <v>88209</v>
      </c>
      <c r="U11" s="21">
        <v>250</v>
      </c>
      <c r="V11" s="24">
        <v>9225</v>
      </c>
      <c r="W11" s="23">
        <v>14742</v>
      </c>
      <c r="X11" s="24">
        <v>356297</v>
      </c>
      <c r="Y11" s="46">
        <v>271</v>
      </c>
      <c r="Z11" s="24">
        <v>190923</v>
      </c>
      <c r="AA11" s="23">
        <v>5521</v>
      </c>
      <c r="AB11" s="24">
        <v>1114120</v>
      </c>
    </row>
    <row r="12" spans="1:28" s="6" customFormat="1" ht="18.75" customHeight="1">
      <c r="A12" s="19" t="s">
        <v>65</v>
      </c>
      <c r="B12" s="48" t="s">
        <v>13</v>
      </c>
      <c r="C12" s="23">
        <v>119641</v>
      </c>
      <c r="D12" s="43">
        <v>9969801</v>
      </c>
      <c r="E12" s="38">
        <v>69584</v>
      </c>
      <c r="F12" s="22">
        <v>2931896</v>
      </c>
      <c r="G12" s="23">
        <v>5691</v>
      </c>
      <c r="H12" s="24">
        <v>1426392</v>
      </c>
      <c r="I12" s="21">
        <v>28277</v>
      </c>
      <c r="J12" s="24">
        <v>2446794</v>
      </c>
      <c r="K12" s="23">
        <v>6271</v>
      </c>
      <c r="L12" s="24">
        <v>1119647</v>
      </c>
      <c r="M12" s="21">
        <v>1303</v>
      </c>
      <c r="N12" s="24">
        <v>482612</v>
      </c>
      <c r="O12" s="23">
        <v>853</v>
      </c>
      <c r="P12" s="24">
        <v>549834</v>
      </c>
      <c r="Q12" s="21">
        <v>97</v>
      </c>
      <c r="R12" s="24">
        <v>92703</v>
      </c>
      <c r="S12" s="23">
        <v>248</v>
      </c>
      <c r="T12" s="24">
        <v>65418</v>
      </c>
      <c r="U12" s="21">
        <v>13</v>
      </c>
      <c r="V12" s="24">
        <v>2146</v>
      </c>
      <c r="W12" s="23">
        <v>3727</v>
      </c>
      <c r="X12" s="24">
        <v>76854</v>
      </c>
      <c r="Y12" s="46">
        <v>138</v>
      </c>
      <c r="Z12" s="24">
        <v>137147</v>
      </c>
      <c r="AA12" s="23">
        <v>3439</v>
      </c>
      <c r="AB12" s="24">
        <v>638358</v>
      </c>
    </row>
    <row r="13" spans="1:28" s="6" customFormat="1" ht="18.75" customHeight="1">
      <c r="A13" s="19" t="s">
        <v>64</v>
      </c>
      <c r="B13" s="48" t="s">
        <v>13</v>
      </c>
      <c r="C13" s="23">
        <v>110258</v>
      </c>
      <c r="D13" s="43">
        <v>8839453</v>
      </c>
      <c r="E13" s="64">
        <v>58421</v>
      </c>
      <c r="F13" s="22">
        <v>2986632</v>
      </c>
      <c r="G13" s="23">
        <v>6652</v>
      </c>
      <c r="H13" s="24">
        <v>1281557</v>
      </c>
      <c r="I13" s="65">
        <v>23683</v>
      </c>
      <c r="J13" s="66">
        <v>1484421</v>
      </c>
      <c r="K13" s="23">
        <v>6664</v>
      </c>
      <c r="L13" s="24">
        <v>963214</v>
      </c>
      <c r="M13" s="21">
        <v>1155</v>
      </c>
      <c r="N13" s="24">
        <v>444008</v>
      </c>
      <c r="O13" s="23">
        <v>504</v>
      </c>
      <c r="P13" s="24">
        <v>237111</v>
      </c>
      <c r="Q13" s="21">
        <v>104</v>
      </c>
      <c r="R13" s="24">
        <v>96695</v>
      </c>
      <c r="S13" s="23">
        <v>47</v>
      </c>
      <c r="T13" s="24">
        <v>11308</v>
      </c>
      <c r="U13" s="21">
        <v>2410</v>
      </c>
      <c r="V13" s="24">
        <v>181592</v>
      </c>
      <c r="W13" s="46">
        <v>3162</v>
      </c>
      <c r="X13" s="24">
        <v>77658</v>
      </c>
      <c r="Y13" s="46">
        <v>192</v>
      </c>
      <c r="Z13" s="24">
        <v>321608</v>
      </c>
      <c r="AA13" s="67">
        <v>7264</v>
      </c>
      <c r="AB13" s="66">
        <v>753649</v>
      </c>
    </row>
    <row r="14" spans="1:28" s="48" customFormat="1" ht="18.75" customHeight="1">
      <c r="A14" s="19" t="s">
        <v>63</v>
      </c>
      <c r="B14" s="48" t="s">
        <v>13</v>
      </c>
      <c r="C14" s="23">
        <v>110668</v>
      </c>
      <c r="D14" s="43">
        <v>9021716</v>
      </c>
      <c r="E14" s="64">
        <v>65699</v>
      </c>
      <c r="F14" s="22">
        <v>3137775</v>
      </c>
      <c r="G14" s="23">
        <v>7287</v>
      </c>
      <c r="H14" s="24">
        <v>1124322</v>
      </c>
      <c r="I14" s="65">
        <v>15196</v>
      </c>
      <c r="J14" s="66">
        <v>1527694</v>
      </c>
      <c r="K14" s="23">
        <v>3001</v>
      </c>
      <c r="L14" s="24">
        <v>709906</v>
      </c>
      <c r="M14" s="21">
        <v>986</v>
      </c>
      <c r="N14" s="24">
        <v>319190</v>
      </c>
      <c r="O14" s="23">
        <v>268</v>
      </c>
      <c r="P14" s="24">
        <v>173234</v>
      </c>
      <c r="Q14" s="21">
        <v>181</v>
      </c>
      <c r="R14" s="24">
        <v>178894</v>
      </c>
      <c r="S14" s="23">
        <v>116</v>
      </c>
      <c r="T14" s="24">
        <v>38062</v>
      </c>
      <c r="U14" s="21">
        <v>2695</v>
      </c>
      <c r="V14" s="24">
        <v>400759</v>
      </c>
      <c r="W14" s="21">
        <v>9483</v>
      </c>
      <c r="X14" s="24">
        <v>327673</v>
      </c>
      <c r="Y14" s="21">
        <v>196</v>
      </c>
      <c r="Z14" s="24">
        <v>342030</v>
      </c>
      <c r="AA14" s="67">
        <v>5560</v>
      </c>
      <c r="AB14" s="66">
        <v>742177</v>
      </c>
    </row>
    <row r="15" spans="1:28" s="48" customFormat="1" ht="18.75" customHeight="1">
      <c r="A15" s="19" t="s">
        <v>62</v>
      </c>
      <c r="B15" s="48" t="s">
        <v>13</v>
      </c>
      <c r="C15" s="23">
        <v>130571</v>
      </c>
      <c r="D15" s="43">
        <v>12777794</v>
      </c>
      <c r="E15" s="64">
        <v>56430</v>
      </c>
      <c r="F15" s="22">
        <v>3445393</v>
      </c>
      <c r="G15" s="23">
        <v>5709</v>
      </c>
      <c r="H15" s="24">
        <v>1339390</v>
      </c>
      <c r="I15" s="65">
        <v>23207</v>
      </c>
      <c r="J15" s="66">
        <v>2204697</v>
      </c>
      <c r="K15" s="23">
        <v>8431</v>
      </c>
      <c r="L15" s="24">
        <v>1895592</v>
      </c>
      <c r="M15" s="21">
        <v>610</v>
      </c>
      <c r="N15" s="24">
        <v>220837</v>
      </c>
      <c r="O15" s="23">
        <v>431</v>
      </c>
      <c r="P15" s="24">
        <v>285937</v>
      </c>
      <c r="Q15" s="21">
        <v>166</v>
      </c>
      <c r="R15" s="24">
        <v>212345</v>
      </c>
      <c r="S15" s="23">
        <v>36</v>
      </c>
      <c r="T15" s="24">
        <v>22854</v>
      </c>
      <c r="U15" s="21">
        <v>9317</v>
      </c>
      <c r="V15" s="24">
        <v>791049</v>
      </c>
      <c r="W15" s="21">
        <v>20523</v>
      </c>
      <c r="X15" s="24">
        <v>1040849</v>
      </c>
      <c r="Y15" s="21">
        <v>120</v>
      </c>
      <c r="Z15" s="24">
        <v>176301</v>
      </c>
      <c r="AA15" s="67">
        <v>5591</v>
      </c>
      <c r="AB15" s="66">
        <v>1142550</v>
      </c>
    </row>
    <row r="16" spans="1:28" s="48" customFormat="1" ht="18.75" customHeight="1" thickBot="1">
      <c r="A16" s="13" t="s">
        <v>61</v>
      </c>
      <c r="B16" s="14" t="s">
        <v>13</v>
      </c>
      <c r="C16" s="17">
        <v>114977</v>
      </c>
      <c r="D16" s="42">
        <v>12142655</v>
      </c>
      <c r="E16" s="49">
        <v>50726</v>
      </c>
      <c r="F16" s="16">
        <v>3216817</v>
      </c>
      <c r="G16" s="17">
        <v>6020</v>
      </c>
      <c r="H16" s="18">
        <v>1732939</v>
      </c>
      <c r="I16" s="61">
        <v>7166</v>
      </c>
      <c r="J16" s="62">
        <v>1226828</v>
      </c>
      <c r="K16" s="17">
        <v>8254</v>
      </c>
      <c r="L16" s="18">
        <v>2031081</v>
      </c>
      <c r="M16" s="15">
        <v>527</v>
      </c>
      <c r="N16" s="18">
        <v>210163</v>
      </c>
      <c r="O16" s="17">
        <v>151</v>
      </c>
      <c r="P16" s="18">
        <v>89239</v>
      </c>
      <c r="Q16" s="15">
        <v>177</v>
      </c>
      <c r="R16" s="18">
        <v>266286</v>
      </c>
      <c r="S16" s="17">
        <v>3</v>
      </c>
      <c r="T16" s="18">
        <v>1554</v>
      </c>
      <c r="U16" s="15">
        <v>10815</v>
      </c>
      <c r="V16" s="18">
        <v>721345</v>
      </c>
      <c r="W16" s="15">
        <v>28805</v>
      </c>
      <c r="X16" s="18">
        <v>1738868</v>
      </c>
      <c r="Y16" s="15">
        <v>252</v>
      </c>
      <c r="Z16" s="18">
        <v>301961</v>
      </c>
      <c r="AA16" s="63">
        <v>2081</v>
      </c>
      <c r="AB16" s="62">
        <v>605574</v>
      </c>
    </row>
    <row r="17" spans="1:28" s="6" customFormat="1" ht="16.5" customHeight="1" thickTop="1">
      <c r="A17" s="19" t="s">
        <v>61</v>
      </c>
      <c r="B17" s="20" t="s">
        <v>1</v>
      </c>
      <c r="C17" s="23">
        <v>5868</v>
      </c>
      <c r="D17" s="43">
        <v>654130</v>
      </c>
      <c r="E17" s="38">
        <v>4964</v>
      </c>
      <c r="F17" s="22">
        <v>352979</v>
      </c>
      <c r="G17" s="23">
        <v>757</v>
      </c>
      <c r="H17" s="24">
        <v>222317</v>
      </c>
      <c r="I17" s="21">
        <v>0</v>
      </c>
      <c r="J17" s="24">
        <v>0</v>
      </c>
      <c r="K17" s="23">
        <v>13</v>
      </c>
      <c r="L17" s="24">
        <v>2231</v>
      </c>
      <c r="M17" s="21">
        <v>29</v>
      </c>
      <c r="N17" s="24">
        <v>13392</v>
      </c>
      <c r="O17" s="23">
        <v>0</v>
      </c>
      <c r="P17" s="24">
        <v>0</v>
      </c>
      <c r="Q17" s="46">
        <v>15</v>
      </c>
      <c r="R17" s="24">
        <v>27704</v>
      </c>
      <c r="S17" s="78">
        <v>0</v>
      </c>
      <c r="T17" s="24">
        <v>107</v>
      </c>
      <c r="U17" s="21">
        <v>0</v>
      </c>
      <c r="V17" s="24">
        <v>0</v>
      </c>
      <c r="W17" s="60">
        <v>0</v>
      </c>
      <c r="X17" s="24">
        <v>0</v>
      </c>
      <c r="Y17" s="60">
        <v>0</v>
      </c>
      <c r="Z17" s="24">
        <v>0</v>
      </c>
      <c r="AA17" s="23">
        <v>90</v>
      </c>
      <c r="AB17" s="24">
        <v>35400</v>
      </c>
    </row>
    <row r="18" spans="1:28" s="6" customFormat="1" ht="16.5" customHeight="1">
      <c r="A18" s="19"/>
      <c r="B18" s="20" t="s">
        <v>2</v>
      </c>
      <c r="C18" s="23">
        <v>6536</v>
      </c>
      <c r="D18" s="43">
        <v>629326</v>
      </c>
      <c r="E18" s="38">
        <v>5835</v>
      </c>
      <c r="F18" s="22">
        <v>379438</v>
      </c>
      <c r="G18" s="23">
        <v>587</v>
      </c>
      <c r="H18" s="24">
        <v>195941</v>
      </c>
      <c r="I18" s="21">
        <v>0</v>
      </c>
      <c r="J18" s="24">
        <v>0</v>
      </c>
      <c r="K18" s="23">
        <v>12</v>
      </c>
      <c r="L18" s="24">
        <v>2239</v>
      </c>
      <c r="M18" s="21">
        <v>33</v>
      </c>
      <c r="N18" s="24">
        <v>13902</v>
      </c>
      <c r="O18" s="23">
        <v>0</v>
      </c>
      <c r="P18" s="24">
        <v>0</v>
      </c>
      <c r="Q18" s="46">
        <v>9</v>
      </c>
      <c r="R18" s="24">
        <v>22429</v>
      </c>
      <c r="S18" s="78">
        <v>0</v>
      </c>
      <c r="T18" s="24">
        <v>102</v>
      </c>
      <c r="U18" s="21">
        <v>0</v>
      </c>
      <c r="V18" s="24">
        <v>0</v>
      </c>
      <c r="W18" s="23">
        <v>0</v>
      </c>
      <c r="X18" s="24">
        <v>0</v>
      </c>
      <c r="Y18" s="21">
        <v>0</v>
      </c>
      <c r="Z18" s="24">
        <v>0</v>
      </c>
      <c r="AA18" s="23">
        <v>60</v>
      </c>
      <c r="AB18" s="24">
        <v>15275</v>
      </c>
    </row>
    <row r="19" spans="1:28" s="6" customFormat="1" ht="16.5" customHeight="1">
      <c r="A19" s="19"/>
      <c r="B19" s="20" t="s">
        <v>3</v>
      </c>
      <c r="C19" s="23">
        <v>4990</v>
      </c>
      <c r="D19" s="43">
        <v>554966</v>
      </c>
      <c r="E19" s="38">
        <v>3874</v>
      </c>
      <c r="F19" s="22">
        <v>244992</v>
      </c>
      <c r="G19" s="23">
        <v>902</v>
      </c>
      <c r="H19" s="24">
        <v>240401</v>
      </c>
      <c r="I19" s="21">
        <v>0</v>
      </c>
      <c r="J19" s="24">
        <v>0</v>
      </c>
      <c r="K19" s="23">
        <v>7</v>
      </c>
      <c r="L19" s="24">
        <v>1099</v>
      </c>
      <c r="M19" s="21">
        <v>114</v>
      </c>
      <c r="N19" s="24">
        <v>30766</v>
      </c>
      <c r="O19" s="23">
        <v>0</v>
      </c>
      <c r="P19" s="24">
        <v>0</v>
      </c>
      <c r="Q19" s="21">
        <v>18</v>
      </c>
      <c r="R19" s="24">
        <v>25757</v>
      </c>
      <c r="S19" s="23">
        <v>1</v>
      </c>
      <c r="T19" s="24">
        <v>371</v>
      </c>
      <c r="U19" s="21">
        <v>0</v>
      </c>
      <c r="V19" s="24">
        <v>0</v>
      </c>
      <c r="W19" s="23">
        <v>0</v>
      </c>
      <c r="X19" s="24">
        <v>0</v>
      </c>
      <c r="Y19" s="21">
        <v>0</v>
      </c>
      <c r="Z19" s="24">
        <v>0</v>
      </c>
      <c r="AA19" s="23">
        <v>74</v>
      </c>
      <c r="AB19" s="24">
        <v>11580</v>
      </c>
    </row>
    <row r="20" spans="1:28" s="6" customFormat="1" ht="16.5" customHeight="1">
      <c r="A20" s="19"/>
      <c r="B20" s="20" t="s">
        <v>4</v>
      </c>
      <c r="C20" s="23">
        <v>3801</v>
      </c>
      <c r="D20" s="43">
        <v>471271</v>
      </c>
      <c r="E20" s="38">
        <v>2814</v>
      </c>
      <c r="F20" s="22">
        <v>180436</v>
      </c>
      <c r="G20" s="23">
        <v>666</v>
      </c>
      <c r="H20" s="24">
        <v>196992</v>
      </c>
      <c r="I20" s="21">
        <v>93</v>
      </c>
      <c r="J20" s="24">
        <v>3729</v>
      </c>
      <c r="K20" s="23">
        <v>6</v>
      </c>
      <c r="L20" s="24">
        <v>812</v>
      </c>
      <c r="M20" s="21">
        <v>42</v>
      </c>
      <c r="N20" s="24">
        <v>16079</v>
      </c>
      <c r="O20" s="23">
        <v>1</v>
      </c>
      <c r="P20" s="24">
        <v>1131</v>
      </c>
      <c r="Q20" s="21">
        <v>35</v>
      </c>
      <c r="R20" s="24">
        <v>45330</v>
      </c>
      <c r="S20" s="78">
        <v>0</v>
      </c>
      <c r="T20" s="24">
        <v>239</v>
      </c>
      <c r="U20" s="21">
        <v>0</v>
      </c>
      <c r="V20" s="24">
        <v>0</v>
      </c>
      <c r="W20" s="23">
        <v>0</v>
      </c>
      <c r="X20" s="24">
        <v>0</v>
      </c>
      <c r="Y20" s="21">
        <v>0</v>
      </c>
      <c r="Z20" s="24">
        <v>0</v>
      </c>
      <c r="AA20" s="23">
        <v>144</v>
      </c>
      <c r="AB20" s="24">
        <v>26523</v>
      </c>
    </row>
    <row r="21" spans="1:28" s="6" customFormat="1" ht="16.5" customHeight="1">
      <c r="A21" s="19"/>
      <c r="B21" s="20" t="s">
        <v>5</v>
      </c>
      <c r="C21" s="23">
        <v>5897</v>
      </c>
      <c r="D21" s="43">
        <v>676007</v>
      </c>
      <c r="E21" s="38">
        <v>3845</v>
      </c>
      <c r="F21" s="22">
        <v>249188</v>
      </c>
      <c r="G21" s="23">
        <v>1101</v>
      </c>
      <c r="H21" s="24">
        <v>247886</v>
      </c>
      <c r="I21" s="21">
        <v>486</v>
      </c>
      <c r="J21" s="24">
        <v>18179</v>
      </c>
      <c r="K21" s="23">
        <v>8</v>
      </c>
      <c r="L21" s="24">
        <v>905</v>
      </c>
      <c r="M21" s="21">
        <v>68</v>
      </c>
      <c r="N21" s="24">
        <v>18858</v>
      </c>
      <c r="O21" s="23">
        <v>20</v>
      </c>
      <c r="P21" s="24">
        <v>15890</v>
      </c>
      <c r="Q21" s="21">
        <v>35</v>
      </c>
      <c r="R21" s="24">
        <v>43071</v>
      </c>
      <c r="S21" s="78">
        <v>0</v>
      </c>
      <c r="T21" s="24">
        <v>32</v>
      </c>
      <c r="U21" s="21">
        <v>0</v>
      </c>
      <c r="V21" s="24">
        <v>0</v>
      </c>
      <c r="W21" s="23">
        <v>0</v>
      </c>
      <c r="X21" s="24">
        <v>0</v>
      </c>
      <c r="Y21" s="21">
        <v>0</v>
      </c>
      <c r="Z21" s="24">
        <v>0</v>
      </c>
      <c r="AA21" s="23">
        <v>334</v>
      </c>
      <c r="AB21" s="24">
        <v>81998</v>
      </c>
    </row>
    <row r="22" spans="1:28" s="6" customFormat="1" ht="16.5" customHeight="1">
      <c r="A22" s="19"/>
      <c r="B22" s="20" t="s">
        <v>6</v>
      </c>
      <c r="C22" s="23">
        <v>987</v>
      </c>
      <c r="D22" s="43">
        <v>170992</v>
      </c>
      <c r="E22" s="38">
        <v>459</v>
      </c>
      <c r="F22" s="22">
        <v>29821</v>
      </c>
      <c r="G22" s="23">
        <v>105</v>
      </c>
      <c r="H22" s="24">
        <v>22706</v>
      </c>
      <c r="I22" s="21">
        <v>70</v>
      </c>
      <c r="J22" s="24">
        <v>2270</v>
      </c>
      <c r="K22" s="53">
        <v>1</v>
      </c>
      <c r="L22" s="24">
        <v>60</v>
      </c>
      <c r="M22" s="21">
        <v>40</v>
      </c>
      <c r="N22" s="24">
        <v>11464</v>
      </c>
      <c r="O22" s="23">
        <v>13</v>
      </c>
      <c r="P22" s="24">
        <v>16687</v>
      </c>
      <c r="Q22" s="53">
        <v>2</v>
      </c>
      <c r="R22" s="24">
        <v>2974</v>
      </c>
      <c r="S22" s="45">
        <v>0</v>
      </c>
      <c r="T22" s="24">
        <v>7</v>
      </c>
      <c r="U22" s="21">
        <v>68</v>
      </c>
      <c r="V22" s="24">
        <v>5471</v>
      </c>
      <c r="W22" s="23">
        <v>10</v>
      </c>
      <c r="X22" s="24">
        <v>9955</v>
      </c>
      <c r="Y22" s="21">
        <v>0</v>
      </c>
      <c r="Z22" s="24">
        <v>0</v>
      </c>
      <c r="AA22" s="23">
        <v>219</v>
      </c>
      <c r="AB22" s="24">
        <v>69577</v>
      </c>
    </row>
    <row r="23" spans="1:28" s="6" customFormat="1" ht="16.5" customHeight="1">
      <c r="A23" s="19"/>
      <c r="B23" s="20" t="s">
        <v>7</v>
      </c>
      <c r="C23" s="23">
        <v>1491</v>
      </c>
      <c r="D23" s="43">
        <v>395703</v>
      </c>
      <c r="E23" s="38">
        <v>8</v>
      </c>
      <c r="F23" s="22">
        <v>735</v>
      </c>
      <c r="G23" s="23">
        <v>12</v>
      </c>
      <c r="H23" s="24">
        <v>3700</v>
      </c>
      <c r="I23" s="21">
        <v>13</v>
      </c>
      <c r="J23" s="24">
        <v>12859</v>
      </c>
      <c r="K23" s="45">
        <v>794</v>
      </c>
      <c r="L23" s="24">
        <v>197421</v>
      </c>
      <c r="M23" s="21">
        <v>15</v>
      </c>
      <c r="N23" s="24">
        <v>5381</v>
      </c>
      <c r="O23" s="23">
        <v>0</v>
      </c>
      <c r="P23" s="24">
        <v>0</v>
      </c>
      <c r="Q23" s="21">
        <v>6</v>
      </c>
      <c r="R23" s="24">
        <v>10898</v>
      </c>
      <c r="S23" s="45">
        <v>0</v>
      </c>
      <c r="T23" s="24">
        <v>2</v>
      </c>
      <c r="U23" s="45">
        <v>0</v>
      </c>
      <c r="V23" s="24">
        <v>16</v>
      </c>
      <c r="W23" s="21">
        <v>472</v>
      </c>
      <c r="X23" s="24">
        <v>126641</v>
      </c>
      <c r="Y23" s="21">
        <v>0</v>
      </c>
      <c r="Z23" s="24">
        <v>0</v>
      </c>
      <c r="AA23" s="23">
        <v>171</v>
      </c>
      <c r="AB23" s="24">
        <v>38050</v>
      </c>
    </row>
    <row r="24" spans="1:28" s="6" customFormat="1" ht="16.5" customHeight="1">
      <c r="A24" s="19"/>
      <c r="B24" s="20" t="s">
        <v>8</v>
      </c>
      <c r="C24" s="23">
        <v>11223</v>
      </c>
      <c r="D24" s="43">
        <v>1349978</v>
      </c>
      <c r="E24" s="38">
        <v>17</v>
      </c>
      <c r="F24" s="22">
        <v>1305</v>
      </c>
      <c r="G24" s="23">
        <v>3</v>
      </c>
      <c r="H24" s="24">
        <v>689</v>
      </c>
      <c r="I24" s="21">
        <v>822</v>
      </c>
      <c r="J24" s="24">
        <v>195430</v>
      </c>
      <c r="K24" s="23">
        <v>1381</v>
      </c>
      <c r="L24" s="24">
        <v>507979</v>
      </c>
      <c r="M24" s="21">
        <v>9</v>
      </c>
      <c r="N24" s="24">
        <v>3840</v>
      </c>
      <c r="O24" s="23">
        <v>0</v>
      </c>
      <c r="P24" s="24">
        <v>0</v>
      </c>
      <c r="Q24" s="21">
        <v>4</v>
      </c>
      <c r="R24" s="24">
        <v>5934</v>
      </c>
      <c r="S24" s="45">
        <v>0</v>
      </c>
      <c r="T24" s="24">
        <v>37</v>
      </c>
      <c r="U24" s="80">
        <v>0</v>
      </c>
      <c r="V24" s="24">
        <v>16</v>
      </c>
      <c r="W24" s="23">
        <v>8798</v>
      </c>
      <c r="X24" s="24">
        <v>598398</v>
      </c>
      <c r="Y24" s="21">
        <v>0</v>
      </c>
      <c r="Z24" s="24">
        <v>0</v>
      </c>
      <c r="AA24" s="23">
        <v>189</v>
      </c>
      <c r="AB24" s="24">
        <v>36350</v>
      </c>
    </row>
    <row r="25" spans="1:28" s="6" customFormat="1" ht="16.5" customHeight="1">
      <c r="A25" s="19"/>
      <c r="B25" s="20" t="s">
        <v>9</v>
      </c>
      <c r="C25" s="23">
        <v>38292</v>
      </c>
      <c r="D25" s="43">
        <v>3072247</v>
      </c>
      <c r="E25" s="38">
        <v>11634</v>
      </c>
      <c r="F25" s="22">
        <v>610246</v>
      </c>
      <c r="G25" s="23">
        <v>395</v>
      </c>
      <c r="H25" s="24">
        <v>88716</v>
      </c>
      <c r="I25" s="21">
        <v>1872</v>
      </c>
      <c r="J25" s="24">
        <v>446936</v>
      </c>
      <c r="K25" s="23">
        <v>3259</v>
      </c>
      <c r="L25" s="24">
        <v>631616</v>
      </c>
      <c r="M25" s="21">
        <v>25</v>
      </c>
      <c r="N25" s="24">
        <v>7953</v>
      </c>
      <c r="O25" s="23">
        <v>105</v>
      </c>
      <c r="P25" s="24">
        <v>49657</v>
      </c>
      <c r="Q25" s="21">
        <v>6</v>
      </c>
      <c r="R25" s="24">
        <v>11383</v>
      </c>
      <c r="S25" s="45">
        <v>0</v>
      </c>
      <c r="T25" s="24">
        <v>266</v>
      </c>
      <c r="U25" s="45">
        <v>7541</v>
      </c>
      <c r="V25" s="24">
        <v>439559</v>
      </c>
      <c r="W25" s="23">
        <v>13302</v>
      </c>
      <c r="X25" s="24">
        <v>659181</v>
      </c>
      <c r="Y25" s="21">
        <v>0</v>
      </c>
      <c r="Z25" s="24">
        <v>0</v>
      </c>
      <c r="AA25" s="23">
        <v>153</v>
      </c>
      <c r="AB25" s="24">
        <v>126734</v>
      </c>
    </row>
    <row r="26" spans="1:28" s="6" customFormat="1" ht="16.5" customHeight="1">
      <c r="A26" s="19"/>
      <c r="B26" s="20" t="s">
        <v>10</v>
      </c>
      <c r="C26" s="23">
        <v>23487</v>
      </c>
      <c r="D26" s="43">
        <v>2193689</v>
      </c>
      <c r="E26" s="38">
        <v>8114</v>
      </c>
      <c r="F26" s="22">
        <v>461853</v>
      </c>
      <c r="G26" s="23">
        <v>588</v>
      </c>
      <c r="H26" s="24">
        <v>171178</v>
      </c>
      <c r="I26" s="21">
        <v>3249</v>
      </c>
      <c r="J26" s="24">
        <v>467248</v>
      </c>
      <c r="K26" s="23">
        <v>1913</v>
      </c>
      <c r="L26" s="24">
        <v>423921</v>
      </c>
      <c r="M26" s="21">
        <v>25</v>
      </c>
      <c r="N26" s="24">
        <v>8044</v>
      </c>
      <c r="O26" s="23">
        <v>12</v>
      </c>
      <c r="P26" s="24">
        <v>5684</v>
      </c>
      <c r="Q26" s="21">
        <v>4</v>
      </c>
      <c r="R26" s="24">
        <v>7251</v>
      </c>
      <c r="S26" s="78">
        <v>0</v>
      </c>
      <c r="T26" s="24">
        <v>26</v>
      </c>
      <c r="U26" s="46">
        <v>3206</v>
      </c>
      <c r="V26" s="24">
        <v>276284</v>
      </c>
      <c r="W26" s="23">
        <v>6222</v>
      </c>
      <c r="X26" s="24">
        <v>344692</v>
      </c>
      <c r="Y26" s="46">
        <v>0</v>
      </c>
      <c r="Z26" s="24">
        <v>128</v>
      </c>
      <c r="AA26" s="23">
        <v>154</v>
      </c>
      <c r="AB26" s="24">
        <v>27380</v>
      </c>
    </row>
    <row r="27" spans="1:28" s="6" customFormat="1" ht="16.5" customHeight="1">
      <c r="A27" s="19"/>
      <c r="B27" s="20" t="s">
        <v>11</v>
      </c>
      <c r="C27" s="23">
        <v>6463</v>
      </c>
      <c r="D27" s="43">
        <v>1233733</v>
      </c>
      <c r="E27" s="38">
        <v>3935</v>
      </c>
      <c r="F27" s="22">
        <v>296339</v>
      </c>
      <c r="G27" s="23">
        <v>512</v>
      </c>
      <c r="H27" s="24">
        <v>203419</v>
      </c>
      <c r="I27" s="21">
        <v>562</v>
      </c>
      <c r="J27" s="24">
        <v>80177</v>
      </c>
      <c r="K27" s="23">
        <v>754</v>
      </c>
      <c r="L27" s="24">
        <v>228420</v>
      </c>
      <c r="M27" s="21">
        <v>49</v>
      </c>
      <c r="N27" s="24">
        <v>23870</v>
      </c>
      <c r="O27" s="45">
        <v>0</v>
      </c>
      <c r="P27" s="24">
        <v>190</v>
      </c>
      <c r="Q27" s="21">
        <v>23</v>
      </c>
      <c r="R27" s="24">
        <v>33748</v>
      </c>
      <c r="S27" s="78">
        <v>0</v>
      </c>
      <c r="T27" s="24">
        <v>323</v>
      </c>
      <c r="U27" s="21">
        <v>0</v>
      </c>
      <c r="V27" s="24">
        <v>0</v>
      </c>
      <c r="W27" s="23">
        <v>0</v>
      </c>
      <c r="X27" s="24">
        <v>0</v>
      </c>
      <c r="Y27" s="21">
        <v>252</v>
      </c>
      <c r="Z27" s="24">
        <v>301833</v>
      </c>
      <c r="AA27" s="23">
        <v>376</v>
      </c>
      <c r="AB27" s="24">
        <v>65414</v>
      </c>
    </row>
    <row r="28" spans="1:28" s="6" customFormat="1" ht="16.5" customHeight="1">
      <c r="A28" s="25"/>
      <c r="B28" s="26" t="s">
        <v>12</v>
      </c>
      <c r="C28" s="31">
        <v>5942</v>
      </c>
      <c r="D28" s="44">
        <v>740614</v>
      </c>
      <c r="E28" s="39">
        <v>5227</v>
      </c>
      <c r="F28" s="34">
        <v>409484</v>
      </c>
      <c r="G28" s="31">
        <v>391</v>
      </c>
      <c r="H28" s="32">
        <v>138994</v>
      </c>
      <c r="I28" s="33">
        <v>0</v>
      </c>
      <c r="J28" s="32">
        <v>0</v>
      </c>
      <c r="K28" s="31">
        <v>106</v>
      </c>
      <c r="L28" s="32">
        <v>34377</v>
      </c>
      <c r="M28" s="33">
        <v>79</v>
      </c>
      <c r="N28" s="32">
        <v>56614</v>
      </c>
      <c r="O28" s="31">
        <v>0</v>
      </c>
      <c r="P28" s="32">
        <v>0</v>
      </c>
      <c r="Q28" s="33">
        <v>20</v>
      </c>
      <c r="R28" s="32">
        <v>29806</v>
      </c>
      <c r="S28" s="79">
        <v>0</v>
      </c>
      <c r="T28" s="32">
        <v>41</v>
      </c>
      <c r="U28" s="33">
        <v>0</v>
      </c>
      <c r="V28" s="32">
        <v>0</v>
      </c>
      <c r="W28" s="33">
        <v>0</v>
      </c>
      <c r="X28" s="32">
        <v>0</v>
      </c>
      <c r="Y28" s="33">
        <v>0</v>
      </c>
      <c r="Z28" s="32">
        <v>0</v>
      </c>
      <c r="AA28" s="31">
        <v>119</v>
      </c>
      <c r="AB28" s="32">
        <v>71298</v>
      </c>
    </row>
    <row r="29" spans="1:28" s="6" customFormat="1" ht="16.5" customHeight="1">
      <c r="A29" s="19" t="s">
        <v>60</v>
      </c>
      <c r="B29" s="20" t="s">
        <v>1</v>
      </c>
      <c r="C29" s="23">
        <v>4179</v>
      </c>
      <c r="D29" s="43">
        <v>512925</v>
      </c>
      <c r="E29" s="38">
        <v>3532</v>
      </c>
      <c r="F29" s="22">
        <v>263876</v>
      </c>
      <c r="G29" s="23">
        <v>509</v>
      </c>
      <c r="H29" s="24">
        <v>172367</v>
      </c>
      <c r="I29" s="21">
        <v>0</v>
      </c>
      <c r="J29" s="24">
        <v>0</v>
      </c>
      <c r="K29" s="23">
        <v>11</v>
      </c>
      <c r="L29" s="24">
        <v>1170</v>
      </c>
      <c r="M29" s="21">
        <v>42</v>
      </c>
      <c r="N29" s="24">
        <v>18915</v>
      </c>
      <c r="O29" s="23">
        <v>0</v>
      </c>
      <c r="P29" s="24">
        <v>0</v>
      </c>
      <c r="Q29" s="46">
        <v>8</v>
      </c>
      <c r="R29" s="24">
        <v>14325</v>
      </c>
      <c r="S29" s="45">
        <v>0</v>
      </c>
      <c r="T29" s="24">
        <v>185</v>
      </c>
      <c r="U29" s="21">
        <v>0</v>
      </c>
      <c r="V29" s="24">
        <v>0</v>
      </c>
      <c r="W29" s="21">
        <v>0</v>
      </c>
      <c r="X29" s="24">
        <v>0</v>
      </c>
      <c r="Y29" s="21">
        <v>0</v>
      </c>
      <c r="Z29" s="24">
        <v>0</v>
      </c>
      <c r="AA29" s="23">
        <v>77</v>
      </c>
      <c r="AB29" s="24">
        <v>42087</v>
      </c>
    </row>
    <row r="30" spans="1:28" s="6" customFormat="1" ht="16.5" customHeight="1">
      <c r="A30" s="19"/>
      <c r="B30" s="20" t="s">
        <v>2</v>
      </c>
      <c r="C30" s="23">
        <v>5662</v>
      </c>
      <c r="D30" s="43">
        <v>481681</v>
      </c>
      <c r="E30" s="38">
        <v>4900</v>
      </c>
      <c r="F30" s="22">
        <v>312369</v>
      </c>
      <c r="G30" s="23">
        <v>645</v>
      </c>
      <c r="H30" s="24">
        <v>133790</v>
      </c>
      <c r="I30" s="21">
        <v>0</v>
      </c>
      <c r="J30" s="24">
        <v>0</v>
      </c>
      <c r="K30" s="23">
        <v>10</v>
      </c>
      <c r="L30" s="24">
        <v>933</v>
      </c>
      <c r="M30" s="21">
        <v>31</v>
      </c>
      <c r="N30" s="24">
        <v>12966</v>
      </c>
      <c r="O30" s="23">
        <v>0</v>
      </c>
      <c r="P30" s="24">
        <v>0</v>
      </c>
      <c r="Q30" s="46">
        <v>5</v>
      </c>
      <c r="R30" s="24">
        <v>9500</v>
      </c>
      <c r="S30" s="45">
        <v>0</v>
      </c>
      <c r="T30" s="24">
        <v>213</v>
      </c>
      <c r="U30" s="21">
        <v>0</v>
      </c>
      <c r="V30" s="24">
        <v>0</v>
      </c>
      <c r="W30" s="23">
        <v>0</v>
      </c>
      <c r="X30" s="24">
        <v>0</v>
      </c>
      <c r="Y30" s="21">
        <v>0</v>
      </c>
      <c r="Z30" s="24">
        <v>0</v>
      </c>
      <c r="AA30" s="23">
        <v>71</v>
      </c>
      <c r="AB30" s="24">
        <v>11910</v>
      </c>
    </row>
    <row r="31" spans="1:28" s="6" customFormat="1" ht="16.5" customHeight="1">
      <c r="A31" s="19"/>
      <c r="B31" s="20" t="s">
        <v>3</v>
      </c>
      <c r="C31" s="23">
        <v>5070</v>
      </c>
      <c r="D31" s="43">
        <v>473662</v>
      </c>
      <c r="E31" s="38">
        <v>4105</v>
      </c>
      <c r="F31" s="22">
        <v>234324</v>
      </c>
      <c r="G31" s="23">
        <v>808</v>
      </c>
      <c r="H31" s="24">
        <v>182382</v>
      </c>
      <c r="I31" s="21">
        <v>0</v>
      </c>
      <c r="J31" s="24">
        <v>0</v>
      </c>
      <c r="K31" s="23">
        <v>10</v>
      </c>
      <c r="L31" s="24">
        <v>870</v>
      </c>
      <c r="M31" s="21">
        <v>33</v>
      </c>
      <c r="N31" s="24">
        <v>12848</v>
      </c>
      <c r="O31" s="23">
        <v>0</v>
      </c>
      <c r="P31" s="24">
        <v>0</v>
      </c>
      <c r="Q31" s="21">
        <v>21</v>
      </c>
      <c r="R31" s="24">
        <v>27581</v>
      </c>
      <c r="S31" s="78">
        <v>0</v>
      </c>
      <c r="T31" s="24">
        <v>428</v>
      </c>
      <c r="U31" s="21">
        <v>0</v>
      </c>
      <c r="V31" s="24">
        <v>0</v>
      </c>
      <c r="W31" s="23">
        <v>0</v>
      </c>
      <c r="X31" s="24">
        <v>0</v>
      </c>
      <c r="Y31" s="21">
        <v>0</v>
      </c>
      <c r="Z31" s="24">
        <v>0</v>
      </c>
      <c r="AA31" s="23">
        <v>93</v>
      </c>
      <c r="AB31" s="24">
        <v>15229</v>
      </c>
    </row>
    <row r="32" spans="1:28" s="6" customFormat="1" ht="16.5" customHeight="1">
      <c r="A32" s="19"/>
      <c r="B32" s="20" t="s">
        <v>4</v>
      </c>
      <c r="C32" s="23">
        <v>4622</v>
      </c>
      <c r="D32" s="43">
        <v>477227</v>
      </c>
      <c r="E32" s="38">
        <v>3699</v>
      </c>
      <c r="F32" s="22">
        <v>210077</v>
      </c>
      <c r="G32" s="23">
        <v>609</v>
      </c>
      <c r="H32" s="24">
        <v>163463</v>
      </c>
      <c r="I32" s="68">
        <v>0</v>
      </c>
      <c r="J32" s="69">
        <v>0</v>
      </c>
      <c r="K32" s="23">
        <v>7</v>
      </c>
      <c r="L32" s="24">
        <v>711</v>
      </c>
      <c r="M32" s="21">
        <v>35</v>
      </c>
      <c r="N32" s="24">
        <v>12147</v>
      </c>
      <c r="O32" s="23">
        <v>4</v>
      </c>
      <c r="P32" s="24">
        <v>4325</v>
      </c>
      <c r="Q32" s="21">
        <v>11</v>
      </c>
      <c r="R32" s="24">
        <v>18393</v>
      </c>
      <c r="S32" s="78">
        <v>0</v>
      </c>
      <c r="T32" s="24">
        <v>110</v>
      </c>
      <c r="U32" s="68">
        <v>0</v>
      </c>
      <c r="V32" s="69">
        <v>0</v>
      </c>
      <c r="W32" s="70">
        <v>0</v>
      </c>
      <c r="X32" s="69">
        <v>0</v>
      </c>
      <c r="Y32" s="68">
        <v>0</v>
      </c>
      <c r="Z32" s="69">
        <v>0</v>
      </c>
      <c r="AA32" s="23">
        <v>257</v>
      </c>
      <c r="AB32" s="24">
        <v>68001</v>
      </c>
    </row>
    <row r="33" spans="1:28" s="6" customFormat="1" ht="16.5" customHeight="1">
      <c r="A33" s="19"/>
      <c r="B33" s="20" t="s">
        <v>5</v>
      </c>
      <c r="C33" s="23">
        <v>2969</v>
      </c>
      <c r="D33" s="43">
        <v>463564</v>
      </c>
      <c r="E33" s="38">
        <v>1093</v>
      </c>
      <c r="F33" s="22">
        <v>65355</v>
      </c>
      <c r="G33" s="23">
        <v>1300</v>
      </c>
      <c r="H33" s="24">
        <v>211515</v>
      </c>
      <c r="I33" s="21">
        <v>0</v>
      </c>
      <c r="J33" s="24">
        <v>0</v>
      </c>
      <c r="K33" s="23">
        <v>9</v>
      </c>
      <c r="L33" s="24">
        <v>965</v>
      </c>
      <c r="M33" s="21">
        <v>83</v>
      </c>
      <c r="N33" s="24">
        <v>16541</v>
      </c>
      <c r="O33" s="23">
        <v>29</v>
      </c>
      <c r="P33" s="24">
        <v>18488</v>
      </c>
      <c r="Q33" s="21">
        <v>21</v>
      </c>
      <c r="R33" s="24">
        <v>29124</v>
      </c>
      <c r="S33" s="78">
        <v>0</v>
      </c>
      <c r="T33" s="24">
        <v>24</v>
      </c>
      <c r="U33" s="21">
        <v>0</v>
      </c>
      <c r="V33" s="24">
        <v>0</v>
      </c>
      <c r="W33" s="23">
        <v>0</v>
      </c>
      <c r="X33" s="24">
        <v>0</v>
      </c>
      <c r="Y33" s="21">
        <v>0</v>
      </c>
      <c r="Z33" s="24">
        <v>0</v>
      </c>
      <c r="AA33" s="23">
        <v>434</v>
      </c>
      <c r="AB33" s="24">
        <v>121552</v>
      </c>
    </row>
    <row r="34" spans="1:28" s="6" customFormat="1" ht="16.5" customHeight="1">
      <c r="A34" s="19"/>
      <c r="B34" s="20" t="s">
        <v>6</v>
      </c>
      <c r="C34" s="23">
        <v>1391</v>
      </c>
      <c r="D34" s="43">
        <v>217823</v>
      </c>
      <c r="E34" s="38">
        <v>99</v>
      </c>
      <c r="F34" s="22">
        <v>5804</v>
      </c>
      <c r="G34" s="23">
        <v>90</v>
      </c>
      <c r="H34" s="24">
        <v>17078</v>
      </c>
      <c r="I34" s="21">
        <v>440</v>
      </c>
      <c r="J34" s="24">
        <v>20426</v>
      </c>
      <c r="K34" s="53">
        <v>1</v>
      </c>
      <c r="L34" s="24">
        <v>164</v>
      </c>
      <c r="M34" s="21">
        <v>26</v>
      </c>
      <c r="N34" s="24">
        <v>5915</v>
      </c>
      <c r="O34" s="23">
        <v>50</v>
      </c>
      <c r="P34" s="24">
        <v>26405</v>
      </c>
      <c r="Q34" s="53">
        <v>4</v>
      </c>
      <c r="R34" s="24">
        <v>5481</v>
      </c>
      <c r="S34" s="45">
        <v>0</v>
      </c>
      <c r="T34" s="24">
        <v>2</v>
      </c>
      <c r="U34" s="21">
        <v>4</v>
      </c>
      <c r="V34" s="24">
        <v>233</v>
      </c>
      <c r="W34" s="23">
        <v>345</v>
      </c>
      <c r="X34" s="24">
        <v>49099</v>
      </c>
      <c r="Y34" s="21">
        <v>0</v>
      </c>
      <c r="Z34" s="24">
        <v>0</v>
      </c>
      <c r="AA34" s="23">
        <v>332</v>
      </c>
      <c r="AB34" s="24">
        <v>87216</v>
      </c>
    </row>
    <row r="35" spans="1:28" s="6" customFormat="1" ht="16.5" customHeight="1">
      <c r="A35" s="19"/>
      <c r="B35" s="20" t="s">
        <v>7</v>
      </c>
      <c r="C35" s="23">
        <v>828</v>
      </c>
      <c r="D35" s="43">
        <v>115821</v>
      </c>
      <c r="E35" s="38">
        <v>45</v>
      </c>
      <c r="F35" s="22">
        <v>2791</v>
      </c>
      <c r="G35" s="23">
        <v>44</v>
      </c>
      <c r="H35" s="24">
        <v>11556</v>
      </c>
      <c r="I35" s="21">
        <v>3</v>
      </c>
      <c r="J35" s="24">
        <v>12403</v>
      </c>
      <c r="K35" s="45">
        <v>0</v>
      </c>
      <c r="L35" s="24">
        <v>1</v>
      </c>
      <c r="M35" s="21">
        <v>19</v>
      </c>
      <c r="N35" s="24">
        <v>7444</v>
      </c>
      <c r="O35" s="23">
        <v>0</v>
      </c>
      <c r="P35" s="24">
        <v>0</v>
      </c>
      <c r="Q35" s="21">
        <v>2</v>
      </c>
      <c r="R35" s="24">
        <v>4510</v>
      </c>
      <c r="S35" s="80">
        <v>0</v>
      </c>
      <c r="T35" s="24">
        <v>1</v>
      </c>
      <c r="U35" s="80">
        <v>5</v>
      </c>
      <c r="V35" s="24">
        <v>221</v>
      </c>
      <c r="W35" s="21">
        <v>552</v>
      </c>
      <c r="X35" s="24">
        <v>51093</v>
      </c>
      <c r="Y35" s="21">
        <v>0</v>
      </c>
      <c r="Z35" s="24">
        <v>0</v>
      </c>
      <c r="AA35" s="23">
        <v>158</v>
      </c>
      <c r="AB35" s="24">
        <v>25801</v>
      </c>
    </row>
    <row r="36" spans="1:28" s="6" customFormat="1" ht="16.5" customHeight="1">
      <c r="A36" s="19"/>
      <c r="B36" s="20" t="s">
        <v>8</v>
      </c>
      <c r="C36" s="23">
        <v>1039</v>
      </c>
      <c r="D36" s="43">
        <v>141342</v>
      </c>
      <c r="E36" s="38">
        <v>2</v>
      </c>
      <c r="F36" s="22">
        <v>164</v>
      </c>
      <c r="G36" s="23">
        <v>2</v>
      </c>
      <c r="H36" s="24">
        <v>416</v>
      </c>
      <c r="I36" s="21">
        <v>36</v>
      </c>
      <c r="J36" s="24">
        <v>23980</v>
      </c>
      <c r="K36" s="23">
        <v>26</v>
      </c>
      <c r="L36" s="24">
        <v>10319</v>
      </c>
      <c r="M36" s="21">
        <v>3</v>
      </c>
      <c r="N36" s="24">
        <v>986</v>
      </c>
      <c r="O36" s="23">
        <v>0</v>
      </c>
      <c r="P36" s="24">
        <v>0</v>
      </c>
      <c r="Q36" s="21">
        <v>4</v>
      </c>
      <c r="R36" s="24">
        <v>7529</v>
      </c>
      <c r="S36" s="21">
        <v>0</v>
      </c>
      <c r="T36" s="22">
        <v>0</v>
      </c>
      <c r="U36" s="80">
        <v>0</v>
      </c>
      <c r="V36" s="24">
        <v>23</v>
      </c>
      <c r="W36" s="23">
        <v>903</v>
      </c>
      <c r="X36" s="24">
        <v>88257</v>
      </c>
      <c r="Y36" s="21">
        <v>0</v>
      </c>
      <c r="Z36" s="24">
        <v>0</v>
      </c>
      <c r="AA36" s="23">
        <v>63</v>
      </c>
      <c r="AB36" s="24">
        <v>9668</v>
      </c>
    </row>
    <row r="37" spans="1:28" s="6" customFormat="1" ht="16.5" customHeight="1">
      <c r="A37" s="19"/>
      <c r="B37" s="20" t="s">
        <v>9</v>
      </c>
      <c r="C37" s="23">
        <v>42110</v>
      </c>
      <c r="D37" s="43">
        <v>2963327</v>
      </c>
      <c r="E37" s="38">
        <v>10170</v>
      </c>
      <c r="F37" s="22">
        <v>424079</v>
      </c>
      <c r="G37" s="23">
        <v>680</v>
      </c>
      <c r="H37" s="24">
        <v>129041</v>
      </c>
      <c r="I37" s="21">
        <v>2570</v>
      </c>
      <c r="J37" s="24">
        <v>484900</v>
      </c>
      <c r="K37" s="23">
        <v>1225</v>
      </c>
      <c r="L37" s="24">
        <v>602010</v>
      </c>
      <c r="M37" s="21">
        <v>37</v>
      </c>
      <c r="N37" s="24">
        <v>9171</v>
      </c>
      <c r="O37" s="23">
        <v>42</v>
      </c>
      <c r="P37" s="24">
        <v>24660</v>
      </c>
      <c r="Q37" s="21">
        <v>10</v>
      </c>
      <c r="R37" s="24">
        <v>18073</v>
      </c>
      <c r="S37" s="80">
        <v>0</v>
      </c>
      <c r="T37" s="24">
        <v>7</v>
      </c>
      <c r="U37" s="45">
        <v>489</v>
      </c>
      <c r="V37" s="24">
        <v>15867</v>
      </c>
      <c r="W37" s="23">
        <v>26378</v>
      </c>
      <c r="X37" s="24">
        <v>1072462</v>
      </c>
      <c r="Y37" s="21">
        <v>0</v>
      </c>
      <c r="Z37" s="24">
        <v>0</v>
      </c>
      <c r="AA37" s="23">
        <v>509</v>
      </c>
      <c r="AB37" s="24">
        <v>183057</v>
      </c>
    </row>
    <row r="38" spans="1:28" s="6" customFormat="1" ht="16.5" customHeight="1">
      <c r="A38" s="19"/>
      <c r="B38" s="20" t="s">
        <v>10</v>
      </c>
      <c r="C38" s="23">
        <v>36716</v>
      </c>
      <c r="D38" s="43">
        <v>2578416</v>
      </c>
      <c r="E38" s="38">
        <v>4969</v>
      </c>
      <c r="F38" s="22">
        <v>218781</v>
      </c>
      <c r="G38" s="23">
        <v>561</v>
      </c>
      <c r="H38" s="24">
        <v>139387</v>
      </c>
      <c r="I38" s="21">
        <v>2440</v>
      </c>
      <c r="J38" s="24">
        <v>431791</v>
      </c>
      <c r="K38" s="23">
        <v>136</v>
      </c>
      <c r="L38" s="24">
        <v>92913</v>
      </c>
      <c r="M38" s="21">
        <v>50</v>
      </c>
      <c r="N38" s="24">
        <v>12604</v>
      </c>
      <c r="O38" s="23">
        <v>12</v>
      </c>
      <c r="P38" s="24">
        <v>7806</v>
      </c>
      <c r="Q38" s="21">
        <v>8</v>
      </c>
      <c r="R38" s="24">
        <v>15426</v>
      </c>
      <c r="S38" s="70">
        <v>0</v>
      </c>
      <c r="T38" s="24">
        <v>0</v>
      </c>
      <c r="U38" s="46">
        <v>6162</v>
      </c>
      <c r="V38" s="24">
        <v>744977</v>
      </c>
      <c r="W38" s="23">
        <v>21292</v>
      </c>
      <c r="X38" s="24">
        <v>835961</v>
      </c>
      <c r="Y38" s="21">
        <v>0</v>
      </c>
      <c r="Z38" s="24">
        <v>0</v>
      </c>
      <c r="AA38" s="23">
        <v>1086</v>
      </c>
      <c r="AB38" s="24">
        <v>78770</v>
      </c>
    </row>
    <row r="39" spans="1:28" s="6" customFormat="1" ht="16.5" customHeight="1">
      <c r="A39" s="19"/>
      <c r="B39" s="20" t="s">
        <v>11</v>
      </c>
      <c r="C39" s="23">
        <v>4947</v>
      </c>
      <c r="D39" s="43">
        <v>1021735</v>
      </c>
      <c r="E39" s="38">
        <v>2855</v>
      </c>
      <c r="F39" s="22">
        <v>204593</v>
      </c>
      <c r="G39" s="23">
        <v>729</v>
      </c>
      <c r="H39" s="24">
        <v>269783</v>
      </c>
      <c r="I39" s="21">
        <v>170</v>
      </c>
      <c r="J39" s="24">
        <v>31195</v>
      </c>
      <c r="K39" s="23">
        <v>20</v>
      </c>
      <c r="L39" s="24">
        <v>15850</v>
      </c>
      <c r="M39" s="21">
        <v>107</v>
      </c>
      <c r="N39" s="24">
        <v>80587</v>
      </c>
      <c r="O39" s="78">
        <v>0</v>
      </c>
      <c r="P39" s="24">
        <v>116</v>
      </c>
      <c r="Q39" s="21">
        <v>8</v>
      </c>
      <c r="R39" s="24">
        <v>14399</v>
      </c>
      <c r="S39" s="78">
        <v>0</v>
      </c>
      <c r="T39" s="24">
        <v>8</v>
      </c>
      <c r="U39" s="21">
        <v>0</v>
      </c>
      <c r="V39" s="24">
        <v>0</v>
      </c>
      <c r="W39" s="23">
        <v>0</v>
      </c>
      <c r="X39" s="24">
        <v>0</v>
      </c>
      <c r="Y39" s="21">
        <v>170</v>
      </c>
      <c r="Z39" s="24">
        <v>290996</v>
      </c>
      <c r="AA39" s="23">
        <v>888</v>
      </c>
      <c r="AB39" s="24">
        <v>114208</v>
      </c>
    </row>
    <row r="40" spans="1:28" s="6" customFormat="1" ht="16.5" customHeight="1">
      <c r="A40" s="25"/>
      <c r="B40" s="26" t="s">
        <v>12</v>
      </c>
      <c r="C40" s="31">
        <v>4675</v>
      </c>
      <c r="D40" s="44">
        <v>651706</v>
      </c>
      <c r="E40" s="39">
        <v>4018</v>
      </c>
      <c r="F40" s="34">
        <v>354410</v>
      </c>
      <c r="G40" s="31">
        <v>401</v>
      </c>
      <c r="H40" s="32">
        <v>132617</v>
      </c>
      <c r="I40" s="33">
        <v>0</v>
      </c>
      <c r="J40" s="32">
        <v>0</v>
      </c>
      <c r="K40" s="31">
        <v>12</v>
      </c>
      <c r="L40" s="32">
        <v>2138</v>
      </c>
      <c r="M40" s="33">
        <v>60</v>
      </c>
      <c r="N40" s="32">
        <v>40590</v>
      </c>
      <c r="O40" s="31">
        <v>0</v>
      </c>
      <c r="P40" s="32">
        <v>0</v>
      </c>
      <c r="Q40" s="33">
        <v>16</v>
      </c>
      <c r="R40" s="32">
        <v>28675</v>
      </c>
      <c r="S40" s="79">
        <v>0</v>
      </c>
      <c r="T40" s="32">
        <v>5</v>
      </c>
      <c r="U40" s="33">
        <v>0</v>
      </c>
      <c r="V40" s="32">
        <v>0</v>
      </c>
      <c r="W40" s="33">
        <v>0</v>
      </c>
      <c r="X40" s="32">
        <v>0</v>
      </c>
      <c r="Y40" s="33">
        <v>0</v>
      </c>
      <c r="Z40" s="32">
        <v>0</v>
      </c>
      <c r="AA40" s="31">
        <v>168</v>
      </c>
      <c r="AB40" s="32">
        <v>93271</v>
      </c>
    </row>
    <row r="41" spans="1:4" s="74" customFormat="1" ht="16.5" customHeight="1" thickBot="1">
      <c r="A41" s="76" t="s">
        <v>57</v>
      </c>
      <c r="B41" s="77"/>
      <c r="C41" s="77"/>
      <c r="D41" s="77"/>
    </row>
    <row r="42" spans="1:28" s="72" customFormat="1" ht="13.5">
      <c r="A42" s="114" t="str">
        <f>"2016（平成28）年"&amp;COUNTA(E29:E40)&amp;"月迄"</f>
        <v>2016（平成28）年12月迄</v>
      </c>
      <c r="B42" s="115"/>
      <c r="C42" s="71">
        <f>SUM(C29:C40)-1</f>
        <v>114207</v>
      </c>
      <c r="D42" s="71">
        <f>SUM(D29:D40)</f>
        <v>10099229</v>
      </c>
      <c r="E42" s="71">
        <f>SUM(E29:E40)</f>
        <v>39487</v>
      </c>
      <c r="F42" s="71">
        <f>SUM(F29:F40)+1</f>
        <v>2296624</v>
      </c>
      <c r="G42" s="71">
        <f>SUM(G29:G40)</f>
        <v>6378</v>
      </c>
      <c r="H42" s="71">
        <f>SUM(H29:H40)</f>
        <v>1563395</v>
      </c>
      <c r="I42" s="71">
        <f>SUM(I29:I40)</f>
        <v>5659</v>
      </c>
      <c r="J42" s="71">
        <f>SUM(J29:J40)+1</f>
        <v>1004696</v>
      </c>
      <c r="K42" s="71">
        <f>SUM(K29:K40)+1</f>
        <v>1468</v>
      </c>
      <c r="L42" s="71">
        <f>SUM(L29:L40)+1</f>
        <v>728045</v>
      </c>
      <c r="M42" s="71">
        <f>SUM(M29:M40)</f>
        <v>526</v>
      </c>
      <c r="N42" s="71">
        <f>SUM(N29:N40)</f>
        <v>230714</v>
      </c>
      <c r="O42" s="71">
        <f>SUM(O29:O40)+1</f>
        <v>138</v>
      </c>
      <c r="P42" s="71">
        <f>SUM(P29:P40)</f>
        <v>81800</v>
      </c>
      <c r="Q42" s="71">
        <f>SUM(Q29:Q40)-1</f>
        <v>117</v>
      </c>
      <c r="R42" s="71">
        <f>SUM(R29:R40)+1</f>
        <v>193017</v>
      </c>
      <c r="S42" s="81">
        <f>SUM(S29:S40)+1</f>
        <v>1</v>
      </c>
      <c r="T42" s="71">
        <f>SUM(T29:T40)+1</f>
        <v>984</v>
      </c>
      <c r="U42" s="71">
        <f>SUM(U29:U40)+1</f>
        <v>6661</v>
      </c>
      <c r="V42" s="71">
        <f>SUM(V29:V40)-1</f>
        <v>761320</v>
      </c>
      <c r="W42" s="71">
        <f>SUM(W29:W40)+1</f>
        <v>49471</v>
      </c>
      <c r="X42" s="71">
        <f>SUM(X29:X40)+1</f>
        <v>2096873</v>
      </c>
      <c r="Y42" s="71">
        <f>SUM(Y29:Y40)</f>
        <v>170</v>
      </c>
      <c r="Z42" s="71">
        <f>SUM(Z29:Z40)</f>
        <v>290996</v>
      </c>
      <c r="AA42" s="71">
        <f>SUM(AA29:AA40)-5</f>
        <v>4131</v>
      </c>
      <c r="AB42" s="71">
        <f>SUM(AB29:AB40)-5</f>
        <v>850765</v>
      </c>
    </row>
    <row r="43" spans="1:28" s="74" customFormat="1" ht="13.5">
      <c r="A43" s="116" t="str">
        <f>"前年"&amp;COUNTA(E29:E40)&amp;"月迄"</f>
        <v>前年12月迄</v>
      </c>
      <c r="B43" s="117"/>
      <c r="C43" s="73">
        <f ca="1">SUM(C17:(INDIRECT("c"&amp;COUNT($J29:$J40)+16)))</f>
        <v>114977</v>
      </c>
      <c r="D43" s="73">
        <f ca="1">SUM(D17:(INDIRECT("d"&amp;COUNT($J29:$J40)+16)))-1</f>
        <v>12142655</v>
      </c>
      <c r="E43" s="73">
        <f ca="1">SUM(E17:(INDIRECT("e"&amp;COUNT($J29:$J40)+16)))</f>
        <v>50726</v>
      </c>
      <c r="F43" s="73">
        <f ca="1">SUM(F17:(INDIRECT("f"&amp;COUNT($J29:$J40)+16)))+1</f>
        <v>3216817</v>
      </c>
      <c r="G43" s="73">
        <f ca="1">SUM(G17:(INDIRECT("g"&amp;COUNT($J29:$J40)+16)))+1</f>
        <v>6020</v>
      </c>
      <c r="H43" s="73">
        <f ca="1">SUM(H17:(INDIRECT("h"&amp;COUNT($J29:$J40)+16)))</f>
        <v>1732939</v>
      </c>
      <c r="I43" s="73">
        <f ca="1">SUM(I17:(INDIRECT("i"&amp;COUNT($J29:$J40)+16)))-1</f>
        <v>7166</v>
      </c>
      <c r="J43" s="73">
        <f ca="1">SUM(J17:(INDIRECT("j"&amp;COUNT($J29:$J40)+16)))</f>
        <v>1226828</v>
      </c>
      <c r="K43" s="73">
        <f ca="1">SUM(K17:(INDIRECT("k"&amp;COUNT($J29:$J40)+16)))</f>
        <v>8254</v>
      </c>
      <c r="L43" s="73">
        <f ca="1">SUM(L17:(INDIRECT("l"&amp;COUNT($J29:$J40)+16)))+1</f>
        <v>2031081</v>
      </c>
      <c r="M43" s="73">
        <f ca="1">SUM(M17:(INDIRECT("m"&amp;COUNT($J29:$J40)+16)))-1</f>
        <v>527</v>
      </c>
      <c r="N43" s="73">
        <f ca="1">SUM(N17:(INDIRECT("n"&amp;COUNT($J29:$J40)+16)))</f>
        <v>210163</v>
      </c>
      <c r="O43" s="73">
        <f ca="1">SUM(O17:(INDIRECT("o"&amp;COUNT($J29:$J40)+16)))</f>
        <v>151</v>
      </c>
      <c r="P43" s="73">
        <f ca="1">SUM(P17:(INDIRECT("p"&amp;COUNT($J29:$J40)+16)))</f>
        <v>89239</v>
      </c>
      <c r="Q43" s="73">
        <f ca="1">SUM(Q17:(INDIRECT("q"&amp;COUNT($J29:$J40)+16)))</f>
        <v>177</v>
      </c>
      <c r="R43" s="73">
        <f ca="1">SUM(R17:(INDIRECT("r"&amp;COUNT($J29:$J40)+16)))+1</f>
        <v>266286</v>
      </c>
      <c r="S43" s="73">
        <f ca="1">SUM(S17:(INDIRECT("s"&amp;COUNT($J29:$J40)+16)))+2</f>
        <v>3</v>
      </c>
      <c r="T43" s="73">
        <f ca="1">SUM(T17:(INDIRECT("t"&amp;COUNT($J29:$J40)+16)))+1</f>
        <v>1554</v>
      </c>
      <c r="U43" s="73">
        <f ca="1">SUM(U17:(INDIRECT("u"&amp;COUNT($J29:$J40)+16)))</f>
        <v>10815</v>
      </c>
      <c r="V43" s="73">
        <f ca="1">SUM(V17:(INDIRECT("v"&amp;COUNT($J29:$J40)+16)))-1</f>
        <v>721345</v>
      </c>
      <c r="W43" s="73">
        <f ca="1">SUM(W17:(INDIRECT("w"&amp;COUNT($J29:$J40)+16)))+1</f>
        <v>28805</v>
      </c>
      <c r="X43" s="73">
        <f ca="1">SUM(X17:(INDIRECT("x"&amp;COUNT($J29:$J40)+16)))+1</f>
        <v>1738868</v>
      </c>
      <c r="Y43" s="73">
        <f ca="1">SUM(Y17:(INDIRECT("y"&amp;COUNT($J29:$J40)+16)))</f>
        <v>252</v>
      </c>
      <c r="Z43" s="73">
        <f ca="1">SUM(Z17:(INDIRECT("z"&amp;COUNT($J29:$J40)+16)))</f>
        <v>301961</v>
      </c>
      <c r="AA43" s="73">
        <f ca="1">SUM(AA17:(INDIRECT("aa"&amp;COUNT($J29:$J40)+16)))-2</f>
        <v>2081</v>
      </c>
      <c r="AB43" s="73">
        <f ca="1">SUM(AB17:(INDIRECT("ab"&amp;COUNT($J29:$J40)+16)))-5</f>
        <v>605574</v>
      </c>
    </row>
    <row r="44" spans="1:28" s="74" customFormat="1" ht="14.25" thickBot="1">
      <c r="A44" s="118" t="s">
        <v>56</v>
      </c>
      <c r="B44" s="119"/>
      <c r="C44" s="75">
        <f>C42-C43</f>
        <v>-770</v>
      </c>
      <c r="D44" s="75">
        <f aca="true" t="shared" si="0" ref="D44:Z44">D42-D43</f>
        <v>-2043426</v>
      </c>
      <c r="E44" s="75">
        <f>E42-E43</f>
        <v>-11239</v>
      </c>
      <c r="F44" s="75">
        <f t="shared" si="0"/>
        <v>-920193</v>
      </c>
      <c r="G44" s="75">
        <f t="shared" si="0"/>
        <v>358</v>
      </c>
      <c r="H44" s="75">
        <f>H42-H43</f>
        <v>-169544</v>
      </c>
      <c r="I44" s="75">
        <f t="shared" si="0"/>
        <v>-1507</v>
      </c>
      <c r="J44" s="75">
        <f t="shared" si="0"/>
        <v>-222132</v>
      </c>
      <c r="K44" s="75">
        <f t="shared" si="0"/>
        <v>-6786</v>
      </c>
      <c r="L44" s="75">
        <f t="shared" si="0"/>
        <v>-1303036</v>
      </c>
      <c r="M44" s="75">
        <f t="shared" si="0"/>
        <v>-1</v>
      </c>
      <c r="N44" s="75">
        <f t="shared" si="0"/>
        <v>20551</v>
      </c>
      <c r="O44" s="75">
        <f t="shared" si="0"/>
        <v>-13</v>
      </c>
      <c r="P44" s="75">
        <f t="shared" si="0"/>
        <v>-7439</v>
      </c>
      <c r="Q44" s="75">
        <f t="shared" si="0"/>
        <v>-60</v>
      </c>
      <c r="R44" s="75">
        <f t="shared" si="0"/>
        <v>-73269</v>
      </c>
      <c r="S44" s="75">
        <f>S42-S43</f>
        <v>-2</v>
      </c>
      <c r="T44" s="75">
        <f t="shared" si="0"/>
        <v>-570</v>
      </c>
      <c r="U44" s="75">
        <f t="shared" si="0"/>
        <v>-4154</v>
      </c>
      <c r="V44" s="75">
        <f t="shared" si="0"/>
        <v>39975</v>
      </c>
      <c r="W44" s="75">
        <f t="shared" si="0"/>
        <v>20666</v>
      </c>
      <c r="X44" s="75">
        <f t="shared" si="0"/>
        <v>358005</v>
      </c>
      <c r="Y44" s="75">
        <f t="shared" si="0"/>
        <v>-82</v>
      </c>
      <c r="Z44" s="75">
        <f t="shared" si="0"/>
        <v>-10965</v>
      </c>
      <c r="AA44" s="75">
        <f>AA42-AA43</f>
        <v>2050</v>
      </c>
      <c r="AB44" s="75">
        <f>AB42-AB43</f>
        <v>245191</v>
      </c>
    </row>
    <row r="45" s="6" customFormat="1" ht="16.5" customHeight="1">
      <c r="A45" s="6" t="s">
        <v>19</v>
      </c>
    </row>
    <row r="46" s="6" customFormat="1" ht="16.5" customHeight="1">
      <c r="A46" s="6" t="s">
        <v>20</v>
      </c>
    </row>
    <row r="47" s="1" customFormat="1" ht="15" customHeight="1"/>
    <row r="48" s="1" customFormat="1" ht="15" customHeight="1"/>
    <row r="49" ht="13.5">
      <c r="E49" s="57"/>
    </row>
  </sheetData>
  <sheetProtection/>
  <mergeCells count="17">
    <mergeCell ref="Y4:Z4"/>
    <mergeCell ref="AA4:AB4"/>
    <mergeCell ref="A42:B42"/>
    <mergeCell ref="A43:B43"/>
    <mergeCell ref="A44:B44"/>
    <mergeCell ref="M4:N4"/>
    <mergeCell ref="O4:P4"/>
    <mergeCell ref="Q4:R4"/>
    <mergeCell ref="S4:T4"/>
    <mergeCell ref="U4:V4"/>
    <mergeCell ref="W4:X4"/>
    <mergeCell ref="A4:B5"/>
    <mergeCell ref="C4:D4"/>
    <mergeCell ref="E4:F4"/>
    <mergeCell ref="G4:H4"/>
    <mergeCell ref="I4:J4"/>
    <mergeCell ref="K4:L4"/>
  </mergeCells>
  <conditionalFormatting sqref="C42:R42 T42:AB42 T44:AB44 C44:R44 C43:AB43">
    <cfRule type="cellIs" priority="2" dxfId="12" operator="equal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48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796875" defaultRowHeight="14.25"/>
  <cols>
    <col min="1" max="1" width="17.59765625" style="56" customWidth="1"/>
    <col min="2" max="2" width="5.5" style="56" customWidth="1"/>
    <col min="3" max="3" width="10.5" style="56" bestFit="1" customWidth="1"/>
    <col min="4" max="4" width="13.8984375" style="56" bestFit="1" customWidth="1"/>
    <col min="5" max="5" width="8.59765625" style="56" customWidth="1"/>
    <col min="6" max="6" width="11.8984375" style="56" customWidth="1"/>
    <col min="7" max="7" width="8.59765625" style="56" customWidth="1"/>
    <col min="8" max="8" width="11.8984375" style="56" customWidth="1"/>
    <col min="9" max="9" width="8.59765625" style="56" customWidth="1"/>
    <col min="10" max="10" width="11.8984375" style="56" customWidth="1"/>
    <col min="11" max="11" width="8.59765625" style="56" customWidth="1"/>
    <col min="12" max="12" width="11.8984375" style="56" customWidth="1"/>
    <col min="13" max="13" width="8.59765625" style="56" customWidth="1"/>
    <col min="14" max="14" width="11.8984375" style="56" customWidth="1"/>
    <col min="15" max="15" width="8.59765625" style="56" customWidth="1"/>
    <col min="16" max="16" width="11.8984375" style="56" customWidth="1"/>
    <col min="17" max="17" width="8.59765625" style="56" customWidth="1"/>
    <col min="18" max="18" width="11.8984375" style="56" customWidth="1"/>
    <col min="19" max="19" width="8.59765625" style="56" customWidth="1"/>
    <col min="20" max="20" width="11.8984375" style="56" customWidth="1"/>
    <col min="21" max="21" width="8.59765625" style="56" customWidth="1"/>
    <col min="22" max="22" width="11.8984375" style="56" customWidth="1"/>
    <col min="23" max="23" width="8.59765625" style="56" customWidth="1"/>
    <col min="24" max="24" width="11.8984375" style="56" customWidth="1"/>
    <col min="25" max="25" width="8.59765625" style="56" customWidth="1"/>
    <col min="26" max="26" width="11.8984375" style="56" customWidth="1"/>
    <col min="27" max="27" width="8.59765625" style="56" customWidth="1"/>
    <col min="28" max="28" width="11.8984375" style="56" customWidth="1"/>
    <col min="29" max="16384" width="9" style="56" customWidth="1"/>
  </cols>
  <sheetData>
    <row r="1" ht="16.5" customHeight="1">
      <c r="A1" s="5" t="s">
        <v>76</v>
      </c>
    </row>
    <row r="2" ht="13.5" customHeight="1"/>
    <row r="3" s="6" customFormat="1" ht="16.5" customHeight="1">
      <c r="A3" s="6" t="s">
        <v>31</v>
      </c>
    </row>
    <row r="4" spans="1:28" s="6" customFormat="1" ht="18.75" customHeight="1">
      <c r="A4" s="120" t="s">
        <v>18</v>
      </c>
      <c r="B4" s="121"/>
      <c r="C4" s="124" t="s">
        <v>0</v>
      </c>
      <c r="D4" s="125"/>
      <c r="E4" s="126" t="s">
        <v>14</v>
      </c>
      <c r="F4" s="113"/>
      <c r="G4" s="112" t="s">
        <v>21</v>
      </c>
      <c r="H4" s="113"/>
      <c r="I4" s="112" t="s">
        <v>22</v>
      </c>
      <c r="J4" s="113"/>
      <c r="K4" s="112" t="s">
        <v>23</v>
      </c>
      <c r="L4" s="113"/>
      <c r="M4" s="112" t="s">
        <v>24</v>
      </c>
      <c r="N4" s="113"/>
      <c r="O4" s="112" t="s">
        <v>15</v>
      </c>
      <c r="P4" s="113"/>
      <c r="Q4" s="112" t="s">
        <v>25</v>
      </c>
      <c r="R4" s="113"/>
      <c r="S4" s="112" t="s">
        <v>26</v>
      </c>
      <c r="T4" s="113"/>
      <c r="U4" s="112" t="s">
        <v>27</v>
      </c>
      <c r="V4" s="113"/>
      <c r="W4" s="112" t="s">
        <v>28</v>
      </c>
      <c r="X4" s="113"/>
      <c r="Y4" s="112" t="s">
        <v>29</v>
      </c>
      <c r="Z4" s="113"/>
      <c r="AA4" s="112" t="s">
        <v>30</v>
      </c>
      <c r="AB4" s="113"/>
    </row>
    <row r="5" spans="1:28" s="6" customFormat="1" ht="18.75" customHeight="1">
      <c r="A5" s="122"/>
      <c r="B5" s="123"/>
      <c r="C5" s="7" t="s">
        <v>16</v>
      </c>
      <c r="D5" s="40" t="s">
        <v>17</v>
      </c>
      <c r="E5" s="35" t="s">
        <v>16</v>
      </c>
      <c r="F5" s="10" t="s">
        <v>17</v>
      </c>
      <c r="G5" s="7" t="s">
        <v>16</v>
      </c>
      <c r="H5" s="8" t="s">
        <v>17</v>
      </c>
      <c r="I5" s="9" t="s">
        <v>16</v>
      </c>
      <c r="J5" s="10" t="s">
        <v>17</v>
      </c>
      <c r="K5" s="7" t="s">
        <v>16</v>
      </c>
      <c r="L5" s="8" t="s">
        <v>17</v>
      </c>
      <c r="M5" s="9" t="s">
        <v>16</v>
      </c>
      <c r="N5" s="10" t="s">
        <v>17</v>
      </c>
      <c r="O5" s="7" t="s">
        <v>16</v>
      </c>
      <c r="P5" s="8" t="s">
        <v>17</v>
      </c>
      <c r="Q5" s="9" t="s">
        <v>16</v>
      </c>
      <c r="R5" s="8" t="s">
        <v>17</v>
      </c>
      <c r="S5" s="7" t="s">
        <v>16</v>
      </c>
      <c r="T5" s="8" t="s">
        <v>17</v>
      </c>
      <c r="U5" s="9" t="s">
        <v>16</v>
      </c>
      <c r="V5" s="10" t="s">
        <v>17</v>
      </c>
      <c r="W5" s="7" t="s">
        <v>16</v>
      </c>
      <c r="X5" s="8" t="s">
        <v>17</v>
      </c>
      <c r="Y5" s="9" t="s">
        <v>16</v>
      </c>
      <c r="Z5" s="8" t="s">
        <v>17</v>
      </c>
      <c r="AA5" s="7" t="s">
        <v>16</v>
      </c>
      <c r="AB5" s="8" t="s">
        <v>17</v>
      </c>
    </row>
    <row r="6" spans="1:28" s="6" customFormat="1" ht="18.75" customHeight="1">
      <c r="A6" s="11" t="s">
        <v>71</v>
      </c>
      <c r="B6" s="12" t="s">
        <v>13</v>
      </c>
      <c r="C6" s="27">
        <v>114577</v>
      </c>
      <c r="D6" s="41">
        <v>11911835</v>
      </c>
      <c r="E6" s="36">
        <v>53813</v>
      </c>
      <c r="F6" s="30">
        <v>3896698</v>
      </c>
      <c r="G6" s="27">
        <v>3869</v>
      </c>
      <c r="H6" s="28">
        <v>966494</v>
      </c>
      <c r="I6" s="29">
        <v>28526</v>
      </c>
      <c r="J6" s="28">
        <v>1985504</v>
      </c>
      <c r="K6" s="27">
        <v>3602</v>
      </c>
      <c r="L6" s="28">
        <v>587516</v>
      </c>
      <c r="M6" s="29">
        <v>1345</v>
      </c>
      <c r="N6" s="28">
        <v>705161</v>
      </c>
      <c r="O6" s="27">
        <v>1579</v>
      </c>
      <c r="P6" s="28">
        <v>856075</v>
      </c>
      <c r="Q6" s="29">
        <v>118</v>
      </c>
      <c r="R6" s="28">
        <v>212500</v>
      </c>
      <c r="S6" s="27">
        <v>741</v>
      </c>
      <c r="T6" s="28">
        <v>140828</v>
      </c>
      <c r="U6" s="29">
        <v>3364</v>
      </c>
      <c r="V6" s="28">
        <v>78773</v>
      </c>
      <c r="W6" s="27">
        <v>2280</v>
      </c>
      <c r="X6" s="28">
        <v>43754</v>
      </c>
      <c r="Y6" s="29">
        <v>251</v>
      </c>
      <c r="Z6" s="28">
        <v>257030</v>
      </c>
      <c r="AA6" s="27">
        <v>15089</v>
      </c>
      <c r="AB6" s="28">
        <v>2181502</v>
      </c>
    </row>
    <row r="7" spans="1:28" s="6" customFormat="1" ht="18.75" customHeight="1">
      <c r="A7" s="19" t="s">
        <v>70</v>
      </c>
      <c r="B7" s="48" t="s">
        <v>13</v>
      </c>
      <c r="C7" s="23">
        <v>137948</v>
      </c>
      <c r="D7" s="43">
        <v>14562957</v>
      </c>
      <c r="E7" s="38">
        <v>55786</v>
      </c>
      <c r="F7" s="22">
        <v>4489157</v>
      </c>
      <c r="G7" s="23">
        <v>3310</v>
      </c>
      <c r="H7" s="24">
        <v>992926</v>
      </c>
      <c r="I7" s="21">
        <v>27899</v>
      </c>
      <c r="J7" s="24">
        <v>2081572</v>
      </c>
      <c r="K7" s="23">
        <v>3869</v>
      </c>
      <c r="L7" s="24">
        <v>893617</v>
      </c>
      <c r="M7" s="21">
        <v>1490</v>
      </c>
      <c r="N7" s="24">
        <v>754333</v>
      </c>
      <c r="O7" s="23">
        <v>1487</v>
      </c>
      <c r="P7" s="24">
        <v>916744</v>
      </c>
      <c r="Q7" s="21">
        <v>108</v>
      </c>
      <c r="R7" s="24">
        <v>195023</v>
      </c>
      <c r="S7" s="23">
        <v>725</v>
      </c>
      <c r="T7" s="24">
        <v>89569</v>
      </c>
      <c r="U7" s="21">
        <v>1891</v>
      </c>
      <c r="V7" s="24">
        <v>144705</v>
      </c>
      <c r="W7" s="23">
        <v>16112</v>
      </c>
      <c r="X7" s="24">
        <v>382795</v>
      </c>
      <c r="Y7" s="46">
        <v>360</v>
      </c>
      <c r="Z7" s="24">
        <v>326991</v>
      </c>
      <c r="AA7" s="23">
        <v>24912</v>
      </c>
      <c r="AB7" s="24">
        <v>3295525</v>
      </c>
    </row>
    <row r="8" spans="1:28" s="6" customFormat="1" ht="18.75" customHeight="1">
      <c r="A8" s="19" t="s">
        <v>69</v>
      </c>
      <c r="B8" s="48" t="s">
        <v>13</v>
      </c>
      <c r="C8" s="23">
        <v>107569</v>
      </c>
      <c r="D8" s="43">
        <v>12723109</v>
      </c>
      <c r="E8" s="38">
        <v>50408</v>
      </c>
      <c r="F8" s="22">
        <v>4285036</v>
      </c>
      <c r="G8" s="23">
        <v>3511</v>
      </c>
      <c r="H8" s="24">
        <v>1040834</v>
      </c>
      <c r="I8" s="21">
        <v>34098</v>
      </c>
      <c r="J8" s="24">
        <v>2522079</v>
      </c>
      <c r="K8" s="23">
        <v>4992</v>
      </c>
      <c r="L8" s="24">
        <v>660467</v>
      </c>
      <c r="M8" s="21">
        <v>1176</v>
      </c>
      <c r="N8" s="24">
        <v>718806</v>
      </c>
      <c r="O8" s="23">
        <v>1422</v>
      </c>
      <c r="P8" s="24">
        <v>853981</v>
      </c>
      <c r="Q8" s="21">
        <v>103</v>
      </c>
      <c r="R8" s="24">
        <v>171971</v>
      </c>
      <c r="S8" s="23">
        <v>482</v>
      </c>
      <c r="T8" s="24">
        <v>114497</v>
      </c>
      <c r="U8" s="21">
        <v>794</v>
      </c>
      <c r="V8" s="24">
        <v>72318</v>
      </c>
      <c r="W8" s="23">
        <v>52</v>
      </c>
      <c r="X8" s="24">
        <v>2180</v>
      </c>
      <c r="Y8" s="46">
        <v>250</v>
      </c>
      <c r="Z8" s="24">
        <v>366073</v>
      </c>
      <c r="AA8" s="23">
        <v>10282</v>
      </c>
      <c r="AB8" s="24">
        <v>1914866</v>
      </c>
    </row>
    <row r="9" spans="1:28" s="6" customFormat="1" ht="18.75" customHeight="1">
      <c r="A9" s="19" t="s">
        <v>68</v>
      </c>
      <c r="B9" s="48" t="s">
        <v>13</v>
      </c>
      <c r="C9" s="23">
        <v>125679</v>
      </c>
      <c r="D9" s="43">
        <v>15281221</v>
      </c>
      <c r="E9" s="38">
        <v>66253</v>
      </c>
      <c r="F9" s="22">
        <v>6179462</v>
      </c>
      <c r="G9" s="23">
        <v>3669</v>
      </c>
      <c r="H9" s="24">
        <v>1200338</v>
      </c>
      <c r="I9" s="21">
        <v>30698</v>
      </c>
      <c r="J9" s="24">
        <v>2575115</v>
      </c>
      <c r="K9" s="23">
        <v>1852</v>
      </c>
      <c r="L9" s="24">
        <v>257255</v>
      </c>
      <c r="M9" s="21">
        <v>972</v>
      </c>
      <c r="N9" s="24">
        <v>586883</v>
      </c>
      <c r="O9" s="23">
        <v>1462</v>
      </c>
      <c r="P9" s="24">
        <v>895714</v>
      </c>
      <c r="Q9" s="21">
        <v>32</v>
      </c>
      <c r="R9" s="24">
        <v>54093</v>
      </c>
      <c r="S9" s="23">
        <v>233</v>
      </c>
      <c r="T9" s="24">
        <v>70889</v>
      </c>
      <c r="U9" s="21">
        <v>19</v>
      </c>
      <c r="V9" s="24">
        <v>2464</v>
      </c>
      <c r="W9" s="23">
        <v>681</v>
      </c>
      <c r="X9" s="24">
        <v>20030</v>
      </c>
      <c r="Y9" s="46">
        <v>102</v>
      </c>
      <c r="Z9" s="24">
        <v>191992</v>
      </c>
      <c r="AA9" s="23">
        <v>19706</v>
      </c>
      <c r="AB9" s="24">
        <v>3246986</v>
      </c>
    </row>
    <row r="10" spans="1:28" s="6" customFormat="1" ht="18.75" customHeight="1">
      <c r="A10" s="19" t="s">
        <v>67</v>
      </c>
      <c r="B10" s="48" t="s">
        <v>13</v>
      </c>
      <c r="C10" s="23">
        <v>128052</v>
      </c>
      <c r="D10" s="43">
        <v>12154590</v>
      </c>
      <c r="E10" s="38">
        <v>55825</v>
      </c>
      <c r="F10" s="22">
        <v>3325149</v>
      </c>
      <c r="G10" s="23">
        <v>3603</v>
      </c>
      <c r="H10" s="24">
        <v>926514</v>
      </c>
      <c r="I10" s="21">
        <v>28797</v>
      </c>
      <c r="J10" s="24">
        <v>2548975</v>
      </c>
      <c r="K10" s="23">
        <v>4772</v>
      </c>
      <c r="L10" s="24">
        <v>619477</v>
      </c>
      <c r="M10" s="21">
        <v>863</v>
      </c>
      <c r="N10" s="24">
        <v>414570</v>
      </c>
      <c r="O10" s="23">
        <v>1019</v>
      </c>
      <c r="P10" s="24">
        <v>615953</v>
      </c>
      <c r="Q10" s="21">
        <v>72</v>
      </c>
      <c r="R10" s="24">
        <v>121419</v>
      </c>
      <c r="S10" s="23">
        <v>958</v>
      </c>
      <c r="T10" s="24">
        <v>176614</v>
      </c>
      <c r="U10" s="21">
        <v>0</v>
      </c>
      <c r="V10" s="24">
        <v>0</v>
      </c>
      <c r="W10" s="23">
        <v>7138</v>
      </c>
      <c r="X10" s="24">
        <v>123775</v>
      </c>
      <c r="Y10" s="46">
        <v>252</v>
      </c>
      <c r="Z10" s="24">
        <v>250170</v>
      </c>
      <c r="AA10" s="23">
        <v>24753</v>
      </c>
      <c r="AB10" s="24">
        <v>3031974</v>
      </c>
    </row>
    <row r="11" spans="1:28" s="6" customFormat="1" ht="18.75" customHeight="1">
      <c r="A11" s="19" t="s">
        <v>66</v>
      </c>
      <c r="B11" s="48" t="s">
        <v>13</v>
      </c>
      <c r="C11" s="23">
        <v>113990</v>
      </c>
      <c r="D11" s="43">
        <v>11357761</v>
      </c>
      <c r="E11" s="38">
        <v>64240</v>
      </c>
      <c r="F11" s="22">
        <v>4297828</v>
      </c>
      <c r="G11" s="23">
        <v>4715</v>
      </c>
      <c r="H11" s="24">
        <v>1228507</v>
      </c>
      <c r="I11" s="21">
        <v>18531</v>
      </c>
      <c r="J11" s="24">
        <v>2052722</v>
      </c>
      <c r="K11" s="23">
        <v>3085</v>
      </c>
      <c r="L11" s="24">
        <v>713613</v>
      </c>
      <c r="M11" s="21">
        <v>866</v>
      </c>
      <c r="N11" s="24">
        <v>331092</v>
      </c>
      <c r="O11" s="23">
        <v>1282</v>
      </c>
      <c r="P11" s="24">
        <v>899729</v>
      </c>
      <c r="Q11" s="21">
        <v>58</v>
      </c>
      <c r="R11" s="24">
        <v>75496</v>
      </c>
      <c r="S11" s="23">
        <v>429</v>
      </c>
      <c r="T11" s="24">
        <v>88209</v>
      </c>
      <c r="U11" s="21">
        <v>250</v>
      </c>
      <c r="V11" s="24">
        <v>9225</v>
      </c>
      <c r="W11" s="23">
        <v>14742</v>
      </c>
      <c r="X11" s="24">
        <v>356297</v>
      </c>
      <c r="Y11" s="46">
        <v>271</v>
      </c>
      <c r="Z11" s="24">
        <v>190923</v>
      </c>
      <c r="AA11" s="23">
        <v>5521</v>
      </c>
      <c r="AB11" s="24">
        <v>1114120</v>
      </c>
    </row>
    <row r="12" spans="1:28" s="6" customFormat="1" ht="18.75" customHeight="1">
      <c r="A12" s="19" t="s">
        <v>65</v>
      </c>
      <c r="B12" s="48" t="s">
        <v>13</v>
      </c>
      <c r="C12" s="23">
        <v>119641</v>
      </c>
      <c r="D12" s="43">
        <v>9969801</v>
      </c>
      <c r="E12" s="38">
        <v>69584</v>
      </c>
      <c r="F12" s="22">
        <v>2931896</v>
      </c>
      <c r="G12" s="23">
        <v>5691</v>
      </c>
      <c r="H12" s="24">
        <v>1426392</v>
      </c>
      <c r="I12" s="21">
        <v>28277</v>
      </c>
      <c r="J12" s="24">
        <v>2446794</v>
      </c>
      <c r="K12" s="23">
        <v>6271</v>
      </c>
      <c r="L12" s="24">
        <v>1119647</v>
      </c>
      <c r="M12" s="21">
        <v>1303</v>
      </c>
      <c r="N12" s="24">
        <v>482612</v>
      </c>
      <c r="O12" s="23">
        <v>853</v>
      </c>
      <c r="P12" s="24">
        <v>549834</v>
      </c>
      <c r="Q12" s="21">
        <v>97</v>
      </c>
      <c r="R12" s="24">
        <v>92703</v>
      </c>
      <c r="S12" s="23">
        <v>248</v>
      </c>
      <c r="T12" s="24">
        <v>65418</v>
      </c>
      <c r="U12" s="21">
        <v>13</v>
      </c>
      <c r="V12" s="24">
        <v>2146</v>
      </c>
      <c r="W12" s="23">
        <v>3727</v>
      </c>
      <c r="X12" s="24">
        <v>76854</v>
      </c>
      <c r="Y12" s="46">
        <v>138</v>
      </c>
      <c r="Z12" s="24">
        <v>137147</v>
      </c>
      <c r="AA12" s="23">
        <v>3439</v>
      </c>
      <c r="AB12" s="24">
        <v>638358</v>
      </c>
    </row>
    <row r="13" spans="1:28" s="6" customFormat="1" ht="18.75" customHeight="1">
      <c r="A13" s="19" t="s">
        <v>64</v>
      </c>
      <c r="B13" s="48" t="s">
        <v>13</v>
      </c>
      <c r="C13" s="23">
        <v>110258</v>
      </c>
      <c r="D13" s="43">
        <v>8839453</v>
      </c>
      <c r="E13" s="64">
        <v>58421</v>
      </c>
      <c r="F13" s="22">
        <v>2986632</v>
      </c>
      <c r="G13" s="23">
        <v>6652</v>
      </c>
      <c r="H13" s="24">
        <v>1281557</v>
      </c>
      <c r="I13" s="65">
        <v>23683</v>
      </c>
      <c r="J13" s="66">
        <v>1484421</v>
      </c>
      <c r="K13" s="23">
        <v>6664</v>
      </c>
      <c r="L13" s="24">
        <v>963214</v>
      </c>
      <c r="M13" s="21">
        <v>1155</v>
      </c>
      <c r="N13" s="24">
        <v>444008</v>
      </c>
      <c r="O13" s="23">
        <v>504</v>
      </c>
      <c r="P13" s="24">
        <v>237111</v>
      </c>
      <c r="Q13" s="21">
        <v>104</v>
      </c>
      <c r="R13" s="24">
        <v>96695</v>
      </c>
      <c r="S13" s="23">
        <v>47</v>
      </c>
      <c r="T13" s="24">
        <v>11308</v>
      </c>
      <c r="U13" s="21">
        <v>2410</v>
      </c>
      <c r="V13" s="24">
        <v>181592</v>
      </c>
      <c r="W13" s="46">
        <v>3162</v>
      </c>
      <c r="X13" s="24">
        <v>77658</v>
      </c>
      <c r="Y13" s="46">
        <v>192</v>
      </c>
      <c r="Z13" s="24">
        <v>321608</v>
      </c>
      <c r="AA13" s="67">
        <v>7264</v>
      </c>
      <c r="AB13" s="66">
        <v>753649</v>
      </c>
    </row>
    <row r="14" spans="1:28" s="48" customFormat="1" ht="18.75" customHeight="1">
      <c r="A14" s="19" t="s">
        <v>63</v>
      </c>
      <c r="B14" s="48" t="s">
        <v>13</v>
      </c>
      <c r="C14" s="23">
        <v>110668</v>
      </c>
      <c r="D14" s="43">
        <v>9021716</v>
      </c>
      <c r="E14" s="64">
        <v>65699</v>
      </c>
      <c r="F14" s="22">
        <v>3137775</v>
      </c>
      <c r="G14" s="23">
        <v>7287</v>
      </c>
      <c r="H14" s="24">
        <v>1124322</v>
      </c>
      <c r="I14" s="65">
        <v>15196</v>
      </c>
      <c r="J14" s="66">
        <v>1527694</v>
      </c>
      <c r="K14" s="23">
        <v>3001</v>
      </c>
      <c r="L14" s="24">
        <v>709906</v>
      </c>
      <c r="M14" s="21">
        <v>986</v>
      </c>
      <c r="N14" s="24">
        <v>319190</v>
      </c>
      <c r="O14" s="23">
        <v>268</v>
      </c>
      <c r="P14" s="24">
        <v>173234</v>
      </c>
      <c r="Q14" s="21">
        <v>181</v>
      </c>
      <c r="R14" s="24">
        <v>178894</v>
      </c>
      <c r="S14" s="23">
        <v>116</v>
      </c>
      <c r="T14" s="24">
        <v>38062</v>
      </c>
      <c r="U14" s="21">
        <v>2695</v>
      </c>
      <c r="V14" s="24">
        <v>400759</v>
      </c>
      <c r="W14" s="21">
        <v>9483</v>
      </c>
      <c r="X14" s="24">
        <v>327673</v>
      </c>
      <c r="Y14" s="21">
        <v>196</v>
      </c>
      <c r="Z14" s="24">
        <v>342030</v>
      </c>
      <c r="AA14" s="67">
        <v>5560</v>
      </c>
      <c r="AB14" s="66">
        <v>742177</v>
      </c>
    </row>
    <row r="15" spans="1:28" s="48" customFormat="1" ht="18.75" customHeight="1" thickBot="1">
      <c r="A15" s="13" t="s">
        <v>62</v>
      </c>
      <c r="B15" s="14" t="s">
        <v>13</v>
      </c>
      <c r="C15" s="17">
        <v>130571</v>
      </c>
      <c r="D15" s="42">
        <v>12777794</v>
      </c>
      <c r="E15" s="49">
        <v>56430</v>
      </c>
      <c r="F15" s="16">
        <v>3445393</v>
      </c>
      <c r="G15" s="17">
        <v>5709</v>
      </c>
      <c r="H15" s="18">
        <v>1339390</v>
      </c>
      <c r="I15" s="61">
        <v>23207</v>
      </c>
      <c r="J15" s="62">
        <v>2204697</v>
      </c>
      <c r="K15" s="17">
        <v>8431</v>
      </c>
      <c r="L15" s="18">
        <v>1895592</v>
      </c>
      <c r="M15" s="15">
        <v>610</v>
      </c>
      <c r="N15" s="18">
        <v>220837</v>
      </c>
      <c r="O15" s="17">
        <v>431</v>
      </c>
      <c r="P15" s="18">
        <v>285937</v>
      </c>
      <c r="Q15" s="15">
        <v>166</v>
      </c>
      <c r="R15" s="18">
        <v>212345</v>
      </c>
      <c r="S15" s="17">
        <v>36</v>
      </c>
      <c r="T15" s="18">
        <v>22854</v>
      </c>
      <c r="U15" s="15">
        <v>9317</v>
      </c>
      <c r="V15" s="18">
        <v>791049</v>
      </c>
      <c r="W15" s="15">
        <v>20523</v>
      </c>
      <c r="X15" s="18">
        <v>1040849</v>
      </c>
      <c r="Y15" s="15">
        <v>120</v>
      </c>
      <c r="Z15" s="18">
        <v>176301</v>
      </c>
      <c r="AA15" s="63">
        <v>5591</v>
      </c>
      <c r="AB15" s="62">
        <v>1142550</v>
      </c>
    </row>
    <row r="16" spans="1:28" s="6" customFormat="1" ht="16.5" customHeight="1" thickTop="1">
      <c r="A16" s="19" t="s">
        <v>62</v>
      </c>
      <c r="B16" s="20" t="s">
        <v>1</v>
      </c>
      <c r="C16" s="23">
        <v>2759</v>
      </c>
      <c r="D16" s="43">
        <v>317875</v>
      </c>
      <c r="E16" s="38">
        <v>1935</v>
      </c>
      <c r="F16" s="22">
        <v>139931</v>
      </c>
      <c r="G16" s="23">
        <v>623</v>
      </c>
      <c r="H16" s="24">
        <v>110109</v>
      </c>
      <c r="I16" s="21">
        <v>0</v>
      </c>
      <c r="J16" s="24">
        <v>0</v>
      </c>
      <c r="K16" s="23">
        <v>5</v>
      </c>
      <c r="L16" s="24">
        <v>589</v>
      </c>
      <c r="M16" s="21">
        <v>35</v>
      </c>
      <c r="N16" s="24">
        <v>13218</v>
      </c>
      <c r="O16" s="23">
        <v>0</v>
      </c>
      <c r="P16" s="24">
        <v>0</v>
      </c>
      <c r="Q16" s="46">
        <v>9</v>
      </c>
      <c r="R16" s="24">
        <v>10999</v>
      </c>
      <c r="S16" s="23">
        <v>2</v>
      </c>
      <c r="T16" s="24">
        <v>1369</v>
      </c>
      <c r="U16" s="21">
        <v>0</v>
      </c>
      <c r="V16" s="24">
        <v>0</v>
      </c>
      <c r="W16" s="60">
        <v>0</v>
      </c>
      <c r="X16" s="24">
        <v>0</v>
      </c>
      <c r="Y16" s="60">
        <v>0</v>
      </c>
      <c r="Z16" s="24">
        <v>0</v>
      </c>
      <c r="AA16" s="23">
        <v>150</v>
      </c>
      <c r="AB16" s="24">
        <v>41660</v>
      </c>
    </row>
    <row r="17" spans="1:28" s="6" customFormat="1" ht="16.5" customHeight="1">
      <c r="A17" s="19"/>
      <c r="B17" s="20" t="s">
        <v>2</v>
      </c>
      <c r="C17" s="23">
        <v>7357</v>
      </c>
      <c r="D17" s="43">
        <v>629097</v>
      </c>
      <c r="E17" s="38">
        <v>6387</v>
      </c>
      <c r="F17" s="22">
        <v>438850</v>
      </c>
      <c r="G17" s="23">
        <v>608</v>
      </c>
      <c r="H17" s="24">
        <v>116217</v>
      </c>
      <c r="I17" s="21">
        <v>0</v>
      </c>
      <c r="J17" s="24">
        <v>0</v>
      </c>
      <c r="K17" s="23">
        <v>7</v>
      </c>
      <c r="L17" s="24">
        <v>933</v>
      </c>
      <c r="M17" s="21">
        <v>59</v>
      </c>
      <c r="N17" s="24">
        <v>18167</v>
      </c>
      <c r="O17" s="23">
        <v>0</v>
      </c>
      <c r="P17" s="24">
        <v>0</v>
      </c>
      <c r="Q17" s="46">
        <v>17</v>
      </c>
      <c r="R17" s="24">
        <v>17652</v>
      </c>
      <c r="S17" s="23">
        <v>13</v>
      </c>
      <c r="T17" s="24">
        <v>7457</v>
      </c>
      <c r="U17" s="21">
        <v>0</v>
      </c>
      <c r="V17" s="24">
        <v>0</v>
      </c>
      <c r="W17" s="23">
        <v>0</v>
      </c>
      <c r="X17" s="24">
        <v>0</v>
      </c>
      <c r="Y17" s="21">
        <v>0</v>
      </c>
      <c r="Z17" s="24">
        <v>0</v>
      </c>
      <c r="AA17" s="23">
        <v>266</v>
      </c>
      <c r="AB17" s="24">
        <v>29821</v>
      </c>
    </row>
    <row r="18" spans="1:28" s="6" customFormat="1" ht="16.5" customHeight="1">
      <c r="A18" s="19"/>
      <c r="B18" s="20" t="s">
        <v>3</v>
      </c>
      <c r="C18" s="23">
        <v>7650</v>
      </c>
      <c r="D18" s="43">
        <v>616237</v>
      </c>
      <c r="E18" s="38">
        <v>6931</v>
      </c>
      <c r="F18" s="22">
        <v>448176</v>
      </c>
      <c r="G18" s="23">
        <v>530</v>
      </c>
      <c r="H18" s="24">
        <v>118490</v>
      </c>
      <c r="I18" s="21">
        <v>0</v>
      </c>
      <c r="J18" s="24">
        <v>0</v>
      </c>
      <c r="K18" s="23">
        <v>6</v>
      </c>
      <c r="L18" s="24">
        <v>899</v>
      </c>
      <c r="M18" s="21">
        <v>84</v>
      </c>
      <c r="N18" s="24">
        <v>23745</v>
      </c>
      <c r="O18" s="23">
        <v>0</v>
      </c>
      <c r="P18" s="24">
        <v>0</v>
      </c>
      <c r="Q18" s="21">
        <v>5</v>
      </c>
      <c r="R18" s="24">
        <v>5324</v>
      </c>
      <c r="S18" s="23">
        <v>9</v>
      </c>
      <c r="T18" s="24">
        <v>6025</v>
      </c>
      <c r="U18" s="21">
        <v>0</v>
      </c>
      <c r="V18" s="24">
        <v>0</v>
      </c>
      <c r="W18" s="23">
        <v>0</v>
      </c>
      <c r="X18" s="24">
        <v>0</v>
      </c>
      <c r="Y18" s="21">
        <v>0</v>
      </c>
      <c r="Z18" s="24">
        <v>0</v>
      </c>
      <c r="AA18" s="23">
        <v>85</v>
      </c>
      <c r="AB18" s="24">
        <v>13578</v>
      </c>
    </row>
    <row r="19" spans="1:28" s="6" customFormat="1" ht="16.5" customHeight="1">
      <c r="A19" s="19"/>
      <c r="B19" s="20" t="s">
        <v>4</v>
      </c>
      <c r="C19" s="23">
        <v>4217</v>
      </c>
      <c r="D19" s="43">
        <v>543775</v>
      </c>
      <c r="E19" s="38">
        <v>2886</v>
      </c>
      <c r="F19" s="22">
        <v>210693</v>
      </c>
      <c r="G19" s="23">
        <v>834</v>
      </c>
      <c r="H19" s="24">
        <v>182172</v>
      </c>
      <c r="I19" s="21">
        <v>0</v>
      </c>
      <c r="J19" s="24">
        <v>0</v>
      </c>
      <c r="K19" s="23">
        <v>4</v>
      </c>
      <c r="L19" s="24">
        <v>693</v>
      </c>
      <c r="M19" s="21">
        <v>65</v>
      </c>
      <c r="N19" s="24">
        <v>20339</v>
      </c>
      <c r="O19" s="23">
        <v>7</v>
      </c>
      <c r="P19" s="24">
        <v>8831</v>
      </c>
      <c r="Q19" s="21">
        <v>25</v>
      </c>
      <c r="R19" s="24">
        <v>32407</v>
      </c>
      <c r="S19" s="23">
        <v>6</v>
      </c>
      <c r="T19" s="24">
        <v>4733</v>
      </c>
      <c r="U19" s="21">
        <v>0</v>
      </c>
      <c r="V19" s="24">
        <v>0</v>
      </c>
      <c r="W19" s="23">
        <v>0</v>
      </c>
      <c r="X19" s="24">
        <v>0</v>
      </c>
      <c r="Y19" s="21">
        <v>0</v>
      </c>
      <c r="Z19" s="24">
        <v>0</v>
      </c>
      <c r="AA19" s="23">
        <v>390</v>
      </c>
      <c r="AB19" s="24">
        <v>83907</v>
      </c>
    </row>
    <row r="20" spans="1:28" s="6" customFormat="1" ht="16.5" customHeight="1">
      <c r="A20" s="19"/>
      <c r="B20" s="20" t="s">
        <v>5</v>
      </c>
      <c r="C20" s="23">
        <v>5405</v>
      </c>
      <c r="D20" s="43">
        <v>583232</v>
      </c>
      <c r="E20" s="38">
        <v>3931</v>
      </c>
      <c r="F20" s="22">
        <v>291907</v>
      </c>
      <c r="G20" s="23">
        <v>790</v>
      </c>
      <c r="H20" s="24">
        <v>158394</v>
      </c>
      <c r="I20" s="21">
        <v>300</v>
      </c>
      <c r="J20" s="24">
        <v>9732</v>
      </c>
      <c r="K20" s="23">
        <v>4</v>
      </c>
      <c r="L20" s="24">
        <v>622</v>
      </c>
      <c r="M20" s="21">
        <v>59</v>
      </c>
      <c r="N20" s="24">
        <v>14802</v>
      </c>
      <c r="O20" s="23">
        <v>21</v>
      </c>
      <c r="P20" s="24">
        <v>13445</v>
      </c>
      <c r="Q20" s="21">
        <v>12</v>
      </c>
      <c r="R20" s="24">
        <v>10963</v>
      </c>
      <c r="S20" s="23">
        <v>4</v>
      </c>
      <c r="T20" s="24">
        <v>2545</v>
      </c>
      <c r="U20" s="21">
        <v>0</v>
      </c>
      <c r="V20" s="24">
        <v>0</v>
      </c>
      <c r="W20" s="23">
        <v>0</v>
      </c>
      <c r="X20" s="24">
        <v>0</v>
      </c>
      <c r="Y20" s="21">
        <v>0</v>
      </c>
      <c r="Z20" s="24">
        <v>0</v>
      </c>
      <c r="AA20" s="23">
        <v>284</v>
      </c>
      <c r="AB20" s="24">
        <v>80822</v>
      </c>
    </row>
    <row r="21" spans="1:28" s="6" customFormat="1" ht="16.5" customHeight="1">
      <c r="A21" s="19"/>
      <c r="B21" s="20" t="s">
        <v>6</v>
      </c>
      <c r="C21" s="23">
        <v>2217</v>
      </c>
      <c r="D21" s="43">
        <v>231332</v>
      </c>
      <c r="E21" s="38">
        <v>539</v>
      </c>
      <c r="F21" s="22">
        <v>40214</v>
      </c>
      <c r="G21" s="23">
        <v>106</v>
      </c>
      <c r="H21" s="24">
        <v>18917</v>
      </c>
      <c r="I21" s="21">
        <v>1185</v>
      </c>
      <c r="J21" s="24">
        <v>39787</v>
      </c>
      <c r="K21" s="53">
        <v>0</v>
      </c>
      <c r="L21" s="24">
        <v>44</v>
      </c>
      <c r="M21" s="21">
        <v>46</v>
      </c>
      <c r="N21" s="24">
        <v>13190</v>
      </c>
      <c r="O21" s="23">
        <v>39</v>
      </c>
      <c r="P21" s="24">
        <v>22100</v>
      </c>
      <c r="Q21" s="53">
        <v>9</v>
      </c>
      <c r="R21" s="24">
        <v>11043</v>
      </c>
      <c r="S21" s="45">
        <v>1</v>
      </c>
      <c r="T21" s="24">
        <v>379</v>
      </c>
      <c r="U21" s="21">
        <v>1</v>
      </c>
      <c r="V21" s="24">
        <v>476</v>
      </c>
      <c r="W21" s="23">
        <v>0</v>
      </c>
      <c r="X21" s="24">
        <v>0</v>
      </c>
      <c r="Y21" s="21">
        <v>0</v>
      </c>
      <c r="Z21" s="24">
        <v>0</v>
      </c>
      <c r="AA21" s="23">
        <v>291</v>
      </c>
      <c r="AB21" s="24">
        <v>85182</v>
      </c>
    </row>
    <row r="22" spans="1:28" s="6" customFormat="1" ht="16.5" customHeight="1">
      <c r="A22" s="19"/>
      <c r="B22" s="20" t="s">
        <v>7</v>
      </c>
      <c r="C22" s="23">
        <v>1895</v>
      </c>
      <c r="D22" s="43">
        <v>466545</v>
      </c>
      <c r="E22" s="38">
        <v>7</v>
      </c>
      <c r="F22" s="22">
        <v>356</v>
      </c>
      <c r="G22" s="23">
        <v>27</v>
      </c>
      <c r="H22" s="24">
        <v>6527</v>
      </c>
      <c r="I22" s="21">
        <v>962</v>
      </c>
      <c r="J22" s="24">
        <v>48594</v>
      </c>
      <c r="K22" s="45">
        <v>318</v>
      </c>
      <c r="L22" s="24">
        <v>67630</v>
      </c>
      <c r="M22" s="21">
        <v>34</v>
      </c>
      <c r="N22" s="24">
        <v>12513</v>
      </c>
      <c r="O22" s="23">
        <v>203</v>
      </c>
      <c r="P22" s="24">
        <v>158467</v>
      </c>
      <c r="Q22" s="21">
        <v>5</v>
      </c>
      <c r="R22" s="24">
        <v>7557</v>
      </c>
      <c r="S22" s="45">
        <v>0</v>
      </c>
      <c r="T22" s="24">
        <v>10</v>
      </c>
      <c r="U22" s="45">
        <v>0</v>
      </c>
      <c r="V22" s="24">
        <v>3</v>
      </c>
      <c r="W22" s="21">
        <v>13</v>
      </c>
      <c r="X22" s="24">
        <v>7867</v>
      </c>
      <c r="Y22" s="21">
        <v>0</v>
      </c>
      <c r="Z22" s="24">
        <v>0</v>
      </c>
      <c r="AA22" s="23">
        <v>326</v>
      </c>
      <c r="AB22" s="24">
        <v>157021</v>
      </c>
    </row>
    <row r="23" spans="1:28" s="6" customFormat="1" ht="16.5" customHeight="1">
      <c r="A23" s="19"/>
      <c r="B23" s="20" t="s">
        <v>8</v>
      </c>
      <c r="C23" s="23">
        <v>16217</v>
      </c>
      <c r="D23" s="43">
        <v>1317913</v>
      </c>
      <c r="E23" s="38">
        <v>2</v>
      </c>
      <c r="F23" s="22">
        <v>107</v>
      </c>
      <c r="G23" s="23">
        <v>55</v>
      </c>
      <c r="H23" s="24">
        <v>12799</v>
      </c>
      <c r="I23" s="21">
        <v>604</v>
      </c>
      <c r="J23" s="24">
        <v>167885</v>
      </c>
      <c r="K23" s="23">
        <v>253</v>
      </c>
      <c r="L23" s="24">
        <v>69622</v>
      </c>
      <c r="M23" s="21">
        <v>9</v>
      </c>
      <c r="N23" s="24">
        <v>4071</v>
      </c>
      <c r="O23" s="23">
        <v>53</v>
      </c>
      <c r="P23" s="24">
        <v>35621</v>
      </c>
      <c r="Q23" s="21">
        <v>8</v>
      </c>
      <c r="R23" s="24">
        <v>9865</v>
      </c>
      <c r="S23" s="45">
        <v>0</v>
      </c>
      <c r="T23" s="24">
        <v>2</v>
      </c>
      <c r="U23" s="21">
        <v>0</v>
      </c>
      <c r="V23" s="24">
        <v>0</v>
      </c>
      <c r="W23" s="23">
        <v>14173</v>
      </c>
      <c r="X23" s="24">
        <v>728125</v>
      </c>
      <c r="Y23" s="21">
        <v>0</v>
      </c>
      <c r="Z23" s="24">
        <v>0</v>
      </c>
      <c r="AA23" s="23">
        <v>1060</v>
      </c>
      <c r="AB23" s="24">
        <v>289816</v>
      </c>
    </row>
    <row r="24" spans="1:28" s="6" customFormat="1" ht="16.5" customHeight="1">
      <c r="A24" s="19"/>
      <c r="B24" s="20" t="s">
        <v>9</v>
      </c>
      <c r="C24" s="23">
        <v>36721</v>
      </c>
      <c r="D24" s="43">
        <v>3303505</v>
      </c>
      <c r="E24" s="38">
        <v>9582</v>
      </c>
      <c r="F24" s="22">
        <v>449713</v>
      </c>
      <c r="G24" s="23">
        <v>393</v>
      </c>
      <c r="H24" s="24">
        <v>43563</v>
      </c>
      <c r="I24" s="21">
        <v>6191</v>
      </c>
      <c r="J24" s="24">
        <v>743208</v>
      </c>
      <c r="K24" s="23">
        <v>4528</v>
      </c>
      <c r="L24" s="24">
        <v>999646</v>
      </c>
      <c r="M24" s="21">
        <v>34</v>
      </c>
      <c r="N24" s="24">
        <v>4993</v>
      </c>
      <c r="O24" s="23">
        <v>78</v>
      </c>
      <c r="P24" s="24">
        <v>32788</v>
      </c>
      <c r="Q24" s="21">
        <v>7</v>
      </c>
      <c r="R24" s="24">
        <v>8723</v>
      </c>
      <c r="S24" s="45">
        <v>0</v>
      </c>
      <c r="T24" s="24">
        <v>66</v>
      </c>
      <c r="U24" s="45">
        <v>8286</v>
      </c>
      <c r="V24" s="24">
        <v>516097</v>
      </c>
      <c r="W24" s="23">
        <v>6006</v>
      </c>
      <c r="X24" s="24">
        <v>291037</v>
      </c>
      <c r="Y24" s="21">
        <v>0</v>
      </c>
      <c r="Z24" s="24">
        <v>0</v>
      </c>
      <c r="AA24" s="23">
        <v>1616</v>
      </c>
      <c r="AB24" s="24">
        <v>213671</v>
      </c>
    </row>
    <row r="25" spans="1:28" s="6" customFormat="1" ht="16.5" customHeight="1">
      <c r="A25" s="19"/>
      <c r="B25" s="20" t="s">
        <v>10</v>
      </c>
      <c r="C25" s="23">
        <v>25894</v>
      </c>
      <c r="D25" s="43">
        <v>2547934</v>
      </c>
      <c r="E25" s="38">
        <v>11299</v>
      </c>
      <c r="F25" s="22">
        <v>516877</v>
      </c>
      <c r="G25" s="23">
        <v>524</v>
      </c>
      <c r="H25" s="24">
        <v>133884</v>
      </c>
      <c r="I25" s="21">
        <v>8898</v>
      </c>
      <c r="J25" s="24">
        <v>786228</v>
      </c>
      <c r="K25" s="23">
        <v>3151</v>
      </c>
      <c r="L25" s="24">
        <v>715272</v>
      </c>
      <c r="M25" s="21">
        <v>39</v>
      </c>
      <c r="N25" s="24">
        <v>5618</v>
      </c>
      <c r="O25" s="23">
        <v>28</v>
      </c>
      <c r="P25" s="24">
        <v>14085</v>
      </c>
      <c r="Q25" s="21">
        <v>7</v>
      </c>
      <c r="R25" s="24">
        <v>12159</v>
      </c>
      <c r="S25" s="78">
        <v>0</v>
      </c>
      <c r="T25" s="24">
        <v>49</v>
      </c>
      <c r="U25" s="46">
        <v>1030</v>
      </c>
      <c r="V25" s="24">
        <v>274474</v>
      </c>
      <c r="W25" s="23">
        <v>330</v>
      </c>
      <c r="X25" s="24">
        <v>13819</v>
      </c>
      <c r="Y25" s="46">
        <v>19</v>
      </c>
      <c r="Z25" s="24">
        <v>26445</v>
      </c>
      <c r="AA25" s="23">
        <v>569</v>
      </c>
      <c r="AB25" s="24">
        <v>49024</v>
      </c>
    </row>
    <row r="26" spans="1:28" s="6" customFormat="1" ht="16.5" customHeight="1">
      <c r="A26" s="19"/>
      <c r="B26" s="20" t="s">
        <v>11</v>
      </c>
      <c r="C26" s="23">
        <v>15242</v>
      </c>
      <c r="D26" s="43">
        <v>1489738</v>
      </c>
      <c r="E26" s="38">
        <v>8859</v>
      </c>
      <c r="F26" s="22">
        <v>596912</v>
      </c>
      <c r="G26" s="23">
        <v>578</v>
      </c>
      <c r="H26" s="24">
        <v>178291</v>
      </c>
      <c r="I26" s="21">
        <v>5067</v>
      </c>
      <c r="J26" s="24">
        <v>409264</v>
      </c>
      <c r="K26" s="23">
        <v>141</v>
      </c>
      <c r="L26" s="24">
        <v>37457</v>
      </c>
      <c r="M26" s="21">
        <v>66</v>
      </c>
      <c r="N26" s="24">
        <v>35095</v>
      </c>
      <c r="O26" s="45">
        <v>1</v>
      </c>
      <c r="P26" s="24">
        <v>600</v>
      </c>
      <c r="Q26" s="21">
        <v>35</v>
      </c>
      <c r="R26" s="24">
        <v>47188</v>
      </c>
      <c r="S26" s="78">
        <v>0</v>
      </c>
      <c r="T26" s="24">
        <v>146</v>
      </c>
      <c r="U26" s="21">
        <v>0</v>
      </c>
      <c r="V26" s="24">
        <v>0</v>
      </c>
      <c r="W26" s="45">
        <v>0</v>
      </c>
      <c r="X26" s="24">
        <v>1</v>
      </c>
      <c r="Y26" s="21">
        <v>101</v>
      </c>
      <c r="Z26" s="24">
        <v>149857</v>
      </c>
      <c r="AA26" s="23">
        <v>394</v>
      </c>
      <c r="AB26" s="24">
        <v>34927</v>
      </c>
    </row>
    <row r="27" spans="1:28" s="6" customFormat="1" ht="16.5" customHeight="1">
      <c r="A27" s="25"/>
      <c r="B27" s="26" t="s">
        <v>12</v>
      </c>
      <c r="C27" s="31">
        <v>4997</v>
      </c>
      <c r="D27" s="44">
        <v>730610</v>
      </c>
      <c r="E27" s="39">
        <v>4072</v>
      </c>
      <c r="F27" s="34">
        <v>311658</v>
      </c>
      <c r="G27" s="31">
        <v>641</v>
      </c>
      <c r="H27" s="32">
        <v>260026</v>
      </c>
      <c r="I27" s="33">
        <v>0</v>
      </c>
      <c r="J27" s="32">
        <v>0</v>
      </c>
      <c r="K27" s="31">
        <v>12</v>
      </c>
      <c r="L27" s="32">
        <v>2184</v>
      </c>
      <c r="M27" s="33">
        <v>80</v>
      </c>
      <c r="N27" s="32">
        <v>55089</v>
      </c>
      <c r="O27" s="31">
        <v>0</v>
      </c>
      <c r="P27" s="32">
        <v>0</v>
      </c>
      <c r="Q27" s="33">
        <v>27</v>
      </c>
      <c r="R27" s="32">
        <v>38464</v>
      </c>
      <c r="S27" s="79">
        <v>0</v>
      </c>
      <c r="T27" s="32">
        <v>74</v>
      </c>
      <c r="U27" s="33">
        <v>0</v>
      </c>
      <c r="V27" s="32">
        <v>0</v>
      </c>
      <c r="W27" s="33">
        <v>0</v>
      </c>
      <c r="X27" s="32">
        <v>0</v>
      </c>
      <c r="Y27" s="33">
        <v>0</v>
      </c>
      <c r="Z27" s="32">
        <v>0</v>
      </c>
      <c r="AA27" s="31">
        <v>165</v>
      </c>
      <c r="AB27" s="32">
        <v>63115</v>
      </c>
    </row>
    <row r="28" spans="1:28" s="6" customFormat="1" ht="16.5" customHeight="1">
      <c r="A28" s="19" t="s">
        <v>61</v>
      </c>
      <c r="B28" s="20" t="s">
        <v>1</v>
      </c>
      <c r="C28" s="23">
        <v>5868</v>
      </c>
      <c r="D28" s="43">
        <v>654130</v>
      </c>
      <c r="E28" s="38">
        <v>4964</v>
      </c>
      <c r="F28" s="22">
        <v>352979</v>
      </c>
      <c r="G28" s="23">
        <v>757</v>
      </c>
      <c r="H28" s="24">
        <v>222317</v>
      </c>
      <c r="I28" s="21">
        <v>0</v>
      </c>
      <c r="J28" s="24">
        <v>0</v>
      </c>
      <c r="K28" s="23">
        <v>13</v>
      </c>
      <c r="L28" s="24">
        <v>2231</v>
      </c>
      <c r="M28" s="21">
        <v>29</v>
      </c>
      <c r="N28" s="24">
        <v>13392</v>
      </c>
      <c r="O28" s="23">
        <v>0</v>
      </c>
      <c r="P28" s="24">
        <v>0</v>
      </c>
      <c r="Q28" s="46">
        <v>15</v>
      </c>
      <c r="R28" s="24">
        <v>27704</v>
      </c>
      <c r="S28" s="45">
        <v>0</v>
      </c>
      <c r="T28" s="24">
        <v>107</v>
      </c>
      <c r="U28" s="21">
        <v>0</v>
      </c>
      <c r="V28" s="24">
        <v>0</v>
      </c>
      <c r="W28" s="21">
        <v>0</v>
      </c>
      <c r="X28" s="24">
        <v>0</v>
      </c>
      <c r="Y28" s="21">
        <v>0</v>
      </c>
      <c r="Z28" s="24">
        <v>0</v>
      </c>
      <c r="AA28" s="23">
        <v>90</v>
      </c>
      <c r="AB28" s="24">
        <v>35400</v>
      </c>
    </row>
    <row r="29" spans="1:28" s="6" customFormat="1" ht="16.5" customHeight="1">
      <c r="A29" s="19"/>
      <c r="B29" s="20" t="s">
        <v>2</v>
      </c>
      <c r="C29" s="23">
        <v>6536</v>
      </c>
      <c r="D29" s="43">
        <v>629326</v>
      </c>
      <c r="E29" s="38">
        <v>5835</v>
      </c>
      <c r="F29" s="22">
        <v>379438</v>
      </c>
      <c r="G29" s="23">
        <v>587</v>
      </c>
      <c r="H29" s="24">
        <v>195941</v>
      </c>
      <c r="I29" s="21">
        <v>0</v>
      </c>
      <c r="J29" s="24">
        <v>0</v>
      </c>
      <c r="K29" s="23">
        <v>12</v>
      </c>
      <c r="L29" s="24">
        <v>2239</v>
      </c>
      <c r="M29" s="21">
        <v>33</v>
      </c>
      <c r="N29" s="24">
        <v>13902</v>
      </c>
      <c r="O29" s="23">
        <v>0</v>
      </c>
      <c r="P29" s="24">
        <v>0</v>
      </c>
      <c r="Q29" s="46">
        <v>9</v>
      </c>
      <c r="R29" s="24">
        <v>22429</v>
      </c>
      <c r="S29" s="45">
        <v>0</v>
      </c>
      <c r="T29" s="24">
        <v>102</v>
      </c>
      <c r="U29" s="21">
        <v>0</v>
      </c>
      <c r="V29" s="24">
        <v>0</v>
      </c>
      <c r="W29" s="23">
        <v>0</v>
      </c>
      <c r="X29" s="24">
        <v>0</v>
      </c>
      <c r="Y29" s="21">
        <v>0</v>
      </c>
      <c r="Z29" s="24">
        <v>0</v>
      </c>
      <c r="AA29" s="23">
        <v>60</v>
      </c>
      <c r="AB29" s="24">
        <v>15275</v>
      </c>
    </row>
    <row r="30" spans="1:28" s="6" customFormat="1" ht="16.5" customHeight="1">
      <c r="A30" s="19"/>
      <c r="B30" s="20" t="s">
        <v>3</v>
      </c>
      <c r="C30" s="23">
        <v>4990</v>
      </c>
      <c r="D30" s="43">
        <v>554966</v>
      </c>
      <c r="E30" s="38">
        <v>3874</v>
      </c>
      <c r="F30" s="22">
        <v>244992</v>
      </c>
      <c r="G30" s="23">
        <v>902</v>
      </c>
      <c r="H30" s="24">
        <v>240401</v>
      </c>
      <c r="I30" s="21">
        <v>0</v>
      </c>
      <c r="J30" s="24">
        <v>0</v>
      </c>
      <c r="K30" s="23">
        <v>7</v>
      </c>
      <c r="L30" s="24">
        <v>1099</v>
      </c>
      <c r="M30" s="21">
        <v>114</v>
      </c>
      <c r="N30" s="24">
        <v>30766</v>
      </c>
      <c r="O30" s="23">
        <v>0</v>
      </c>
      <c r="P30" s="24">
        <v>0</v>
      </c>
      <c r="Q30" s="21">
        <v>18</v>
      </c>
      <c r="R30" s="24">
        <v>25757</v>
      </c>
      <c r="S30" s="23">
        <v>1</v>
      </c>
      <c r="T30" s="24">
        <v>371</v>
      </c>
      <c r="U30" s="21">
        <v>0</v>
      </c>
      <c r="V30" s="24">
        <v>0</v>
      </c>
      <c r="W30" s="23">
        <v>0</v>
      </c>
      <c r="X30" s="24">
        <v>0</v>
      </c>
      <c r="Y30" s="21">
        <v>0</v>
      </c>
      <c r="Z30" s="24">
        <v>0</v>
      </c>
      <c r="AA30" s="23">
        <v>74</v>
      </c>
      <c r="AB30" s="24">
        <v>11580</v>
      </c>
    </row>
    <row r="31" spans="1:28" s="6" customFormat="1" ht="16.5" customHeight="1">
      <c r="A31" s="19"/>
      <c r="B31" s="20" t="s">
        <v>4</v>
      </c>
      <c r="C31" s="23">
        <v>3801</v>
      </c>
      <c r="D31" s="43">
        <v>471271</v>
      </c>
      <c r="E31" s="38">
        <v>2814</v>
      </c>
      <c r="F31" s="22">
        <v>180436</v>
      </c>
      <c r="G31" s="23">
        <v>666</v>
      </c>
      <c r="H31" s="24">
        <v>196992</v>
      </c>
      <c r="I31" s="68">
        <v>93</v>
      </c>
      <c r="J31" s="69">
        <v>3729</v>
      </c>
      <c r="K31" s="23">
        <v>6</v>
      </c>
      <c r="L31" s="24">
        <v>812</v>
      </c>
      <c r="M31" s="21">
        <v>42</v>
      </c>
      <c r="N31" s="24">
        <v>16079</v>
      </c>
      <c r="O31" s="23">
        <v>1</v>
      </c>
      <c r="P31" s="24">
        <v>1131</v>
      </c>
      <c r="Q31" s="21">
        <v>35</v>
      </c>
      <c r="R31" s="24">
        <v>45330</v>
      </c>
      <c r="S31" s="78">
        <v>0</v>
      </c>
      <c r="T31" s="24">
        <v>239</v>
      </c>
      <c r="U31" s="68">
        <v>0</v>
      </c>
      <c r="V31" s="69">
        <v>0</v>
      </c>
      <c r="W31" s="70">
        <v>0</v>
      </c>
      <c r="X31" s="69">
        <v>0</v>
      </c>
      <c r="Y31" s="68">
        <v>0</v>
      </c>
      <c r="Z31" s="69">
        <v>0</v>
      </c>
      <c r="AA31" s="23">
        <v>144</v>
      </c>
      <c r="AB31" s="24">
        <v>26523</v>
      </c>
    </row>
    <row r="32" spans="1:28" s="6" customFormat="1" ht="16.5" customHeight="1">
      <c r="A32" s="19"/>
      <c r="B32" s="20" t="s">
        <v>5</v>
      </c>
      <c r="C32" s="23">
        <v>5897</v>
      </c>
      <c r="D32" s="43">
        <v>676007</v>
      </c>
      <c r="E32" s="38">
        <v>3845</v>
      </c>
      <c r="F32" s="22">
        <v>249188</v>
      </c>
      <c r="G32" s="23">
        <v>1101</v>
      </c>
      <c r="H32" s="24">
        <v>247886</v>
      </c>
      <c r="I32" s="21">
        <v>486</v>
      </c>
      <c r="J32" s="24">
        <v>18179</v>
      </c>
      <c r="K32" s="23">
        <v>8</v>
      </c>
      <c r="L32" s="24">
        <v>905</v>
      </c>
      <c r="M32" s="21">
        <v>68</v>
      </c>
      <c r="N32" s="24">
        <v>18858</v>
      </c>
      <c r="O32" s="23">
        <v>20</v>
      </c>
      <c r="P32" s="24">
        <v>15890</v>
      </c>
      <c r="Q32" s="21">
        <v>35</v>
      </c>
      <c r="R32" s="24">
        <v>43071</v>
      </c>
      <c r="S32" s="78">
        <v>0</v>
      </c>
      <c r="T32" s="24">
        <v>32</v>
      </c>
      <c r="U32" s="21">
        <v>0</v>
      </c>
      <c r="V32" s="24">
        <v>0</v>
      </c>
      <c r="W32" s="23">
        <v>0</v>
      </c>
      <c r="X32" s="24">
        <v>0</v>
      </c>
      <c r="Y32" s="21">
        <v>0</v>
      </c>
      <c r="Z32" s="24">
        <v>0</v>
      </c>
      <c r="AA32" s="23">
        <v>334</v>
      </c>
      <c r="AB32" s="24">
        <v>81998</v>
      </c>
    </row>
    <row r="33" spans="1:28" s="6" customFormat="1" ht="16.5" customHeight="1">
      <c r="A33" s="19"/>
      <c r="B33" s="20" t="s">
        <v>6</v>
      </c>
      <c r="C33" s="23">
        <v>987</v>
      </c>
      <c r="D33" s="43">
        <v>170992</v>
      </c>
      <c r="E33" s="38">
        <v>459</v>
      </c>
      <c r="F33" s="22">
        <v>29821</v>
      </c>
      <c r="G33" s="23">
        <v>105</v>
      </c>
      <c r="H33" s="24">
        <v>22706</v>
      </c>
      <c r="I33" s="21">
        <v>70</v>
      </c>
      <c r="J33" s="24">
        <v>2270</v>
      </c>
      <c r="K33" s="53">
        <v>1</v>
      </c>
      <c r="L33" s="24">
        <v>60</v>
      </c>
      <c r="M33" s="21">
        <v>40</v>
      </c>
      <c r="N33" s="24">
        <v>11464</v>
      </c>
      <c r="O33" s="23">
        <v>13</v>
      </c>
      <c r="P33" s="24">
        <v>16687</v>
      </c>
      <c r="Q33" s="53">
        <v>2</v>
      </c>
      <c r="R33" s="24">
        <v>2974</v>
      </c>
      <c r="S33" s="45">
        <v>0</v>
      </c>
      <c r="T33" s="24">
        <v>7</v>
      </c>
      <c r="U33" s="21">
        <v>68</v>
      </c>
      <c r="V33" s="24">
        <v>5471</v>
      </c>
      <c r="W33" s="23">
        <v>10</v>
      </c>
      <c r="X33" s="24">
        <v>9955</v>
      </c>
      <c r="Y33" s="21">
        <v>0</v>
      </c>
      <c r="Z33" s="24">
        <v>0</v>
      </c>
      <c r="AA33" s="23">
        <v>219</v>
      </c>
      <c r="AB33" s="24">
        <v>69577</v>
      </c>
    </row>
    <row r="34" spans="1:28" s="6" customFormat="1" ht="16.5" customHeight="1">
      <c r="A34" s="19"/>
      <c r="B34" s="20" t="s">
        <v>7</v>
      </c>
      <c r="C34" s="23">
        <v>1491</v>
      </c>
      <c r="D34" s="43">
        <v>395703</v>
      </c>
      <c r="E34" s="38">
        <v>8</v>
      </c>
      <c r="F34" s="22">
        <v>735</v>
      </c>
      <c r="G34" s="23">
        <v>12</v>
      </c>
      <c r="H34" s="24">
        <v>3700</v>
      </c>
      <c r="I34" s="21">
        <v>13</v>
      </c>
      <c r="J34" s="24">
        <v>12859</v>
      </c>
      <c r="K34" s="45">
        <v>794</v>
      </c>
      <c r="L34" s="24">
        <v>197421</v>
      </c>
      <c r="M34" s="21">
        <v>15</v>
      </c>
      <c r="N34" s="24">
        <v>5381</v>
      </c>
      <c r="O34" s="23">
        <v>0</v>
      </c>
      <c r="P34" s="24">
        <v>0</v>
      </c>
      <c r="Q34" s="21">
        <v>6</v>
      </c>
      <c r="R34" s="24">
        <v>10898</v>
      </c>
      <c r="S34" s="80">
        <v>0</v>
      </c>
      <c r="T34" s="24">
        <v>2</v>
      </c>
      <c r="U34" s="80">
        <v>0</v>
      </c>
      <c r="V34" s="24">
        <v>16</v>
      </c>
      <c r="W34" s="21">
        <v>472</v>
      </c>
      <c r="X34" s="24">
        <v>126641</v>
      </c>
      <c r="Y34" s="21">
        <v>0</v>
      </c>
      <c r="Z34" s="24">
        <v>0</v>
      </c>
      <c r="AA34" s="23">
        <v>171</v>
      </c>
      <c r="AB34" s="24">
        <v>38050</v>
      </c>
    </row>
    <row r="35" spans="1:28" s="6" customFormat="1" ht="16.5" customHeight="1">
      <c r="A35" s="19"/>
      <c r="B35" s="20" t="s">
        <v>8</v>
      </c>
      <c r="C35" s="23">
        <v>11223</v>
      </c>
      <c r="D35" s="43">
        <v>1349978</v>
      </c>
      <c r="E35" s="38">
        <v>17</v>
      </c>
      <c r="F35" s="22">
        <v>1305</v>
      </c>
      <c r="G35" s="23">
        <v>3</v>
      </c>
      <c r="H35" s="24">
        <v>689</v>
      </c>
      <c r="I35" s="21">
        <v>822</v>
      </c>
      <c r="J35" s="24">
        <v>195430</v>
      </c>
      <c r="K35" s="23">
        <v>1381</v>
      </c>
      <c r="L35" s="24">
        <v>507979</v>
      </c>
      <c r="M35" s="21">
        <v>9</v>
      </c>
      <c r="N35" s="24">
        <v>3840</v>
      </c>
      <c r="O35" s="23">
        <v>0</v>
      </c>
      <c r="P35" s="24">
        <v>0</v>
      </c>
      <c r="Q35" s="21">
        <v>4</v>
      </c>
      <c r="R35" s="24">
        <v>5934</v>
      </c>
      <c r="S35" s="80">
        <v>0</v>
      </c>
      <c r="T35" s="24">
        <v>37</v>
      </c>
      <c r="U35" s="80">
        <v>0</v>
      </c>
      <c r="V35" s="24">
        <v>16</v>
      </c>
      <c r="W35" s="23">
        <v>8798</v>
      </c>
      <c r="X35" s="24">
        <v>598398</v>
      </c>
      <c r="Y35" s="21">
        <v>0</v>
      </c>
      <c r="Z35" s="24">
        <v>0</v>
      </c>
      <c r="AA35" s="23">
        <v>189</v>
      </c>
      <c r="AB35" s="24">
        <v>36350</v>
      </c>
    </row>
    <row r="36" spans="1:28" s="6" customFormat="1" ht="16.5" customHeight="1">
      <c r="A36" s="19"/>
      <c r="B36" s="20" t="s">
        <v>9</v>
      </c>
      <c r="C36" s="23">
        <v>38292</v>
      </c>
      <c r="D36" s="43">
        <v>3072247</v>
      </c>
      <c r="E36" s="38">
        <v>11634</v>
      </c>
      <c r="F36" s="22">
        <v>610246</v>
      </c>
      <c r="G36" s="23">
        <v>395</v>
      </c>
      <c r="H36" s="24">
        <v>88716</v>
      </c>
      <c r="I36" s="21">
        <v>1872</v>
      </c>
      <c r="J36" s="24">
        <v>446936</v>
      </c>
      <c r="K36" s="23">
        <v>3259</v>
      </c>
      <c r="L36" s="24">
        <v>631616</v>
      </c>
      <c r="M36" s="21">
        <v>25</v>
      </c>
      <c r="N36" s="24">
        <v>7953</v>
      </c>
      <c r="O36" s="23">
        <v>105</v>
      </c>
      <c r="P36" s="24">
        <v>49657</v>
      </c>
      <c r="Q36" s="21">
        <v>6</v>
      </c>
      <c r="R36" s="24">
        <v>11383</v>
      </c>
      <c r="S36" s="80">
        <v>0</v>
      </c>
      <c r="T36" s="24">
        <v>266</v>
      </c>
      <c r="U36" s="45">
        <v>7541</v>
      </c>
      <c r="V36" s="24">
        <v>439559</v>
      </c>
      <c r="W36" s="23">
        <v>13302</v>
      </c>
      <c r="X36" s="24">
        <v>659181</v>
      </c>
      <c r="Y36" s="21">
        <v>0</v>
      </c>
      <c r="Z36" s="24">
        <v>0</v>
      </c>
      <c r="AA36" s="23">
        <v>153</v>
      </c>
      <c r="AB36" s="24">
        <v>126734</v>
      </c>
    </row>
    <row r="37" spans="1:28" s="6" customFormat="1" ht="16.5" customHeight="1">
      <c r="A37" s="19"/>
      <c r="B37" s="20" t="s">
        <v>10</v>
      </c>
      <c r="C37" s="23">
        <v>23487</v>
      </c>
      <c r="D37" s="43">
        <v>2193689</v>
      </c>
      <c r="E37" s="38">
        <v>8114</v>
      </c>
      <c r="F37" s="22">
        <v>461853</v>
      </c>
      <c r="G37" s="23">
        <v>588</v>
      </c>
      <c r="H37" s="24">
        <v>171178</v>
      </c>
      <c r="I37" s="21">
        <v>3249</v>
      </c>
      <c r="J37" s="24">
        <v>467248</v>
      </c>
      <c r="K37" s="23">
        <v>1913</v>
      </c>
      <c r="L37" s="24">
        <v>423921</v>
      </c>
      <c r="M37" s="21">
        <v>25</v>
      </c>
      <c r="N37" s="24">
        <v>8044</v>
      </c>
      <c r="O37" s="23">
        <v>12</v>
      </c>
      <c r="P37" s="24">
        <v>5684</v>
      </c>
      <c r="Q37" s="21">
        <v>4</v>
      </c>
      <c r="R37" s="24">
        <v>7251</v>
      </c>
      <c r="S37" s="78">
        <v>0</v>
      </c>
      <c r="T37" s="24">
        <v>26</v>
      </c>
      <c r="U37" s="46">
        <v>3206</v>
      </c>
      <c r="V37" s="24">
        <v>276284</v>
      </c>
      <c r="W37" s="23">
        <v>6222</v>
      </c>
      <c r="X37" s="24">
        <v>344692</v>
      </c>
      <c r="Y37" s="46">
        <v>0</v>
      </c>
      <c r="Z37" s="24">
        <v>128</v>
      </c>
      <c r="AA37" s="23">
        <v>154</v>
      </c>
      <c r="AB37" s="24">
        <v>27380</v>
      </c>
    </row>
    <row r="38" spans="1:28" s="6" customFormat="1" ht="16.5" customHeight="1">
      <c r="A38" s="19"/>
      <c r="B38" s="20" t="s">
        <v>11</v>
      </c>
      <c r="C38" s="23">
        <v>6463</v>
      </c>
      <c r="D38" s="43">
        <v>1233733</v>
      </c>
      <c r="E38" s="38">
        <v>3935</v>
      </c>
      <c r="F38" s="22">
        <v>296339</v>
      </c>
      <c r="G38" s="23">
        <v>512</v>
      </c>
      <c r="H38" s="24">
        <v>203419</v>
      </c>
      <c r="I38" s="21">
        <v>562</v>
      </c>
      <c r="J38" s="24">
        <v>80177</v>
      </c>
      <c r="K38" s="23">
        <v>754</v>
      </c>
      <c r="L38" s="24">
        <v>228420</v>
      </c>
      <c r="M38" s="21">
        <v>49</v>
      </c>
      <c r="N38" s="24">
        <v>23870</v>
      </c>
      <c r="O38" s="45">
        <v>0</v>
      </c>
      <c r="P38" s="24">
        <v>190</v>
      </c>
      <c r="Q38" s="21">
        <v>23</v>
      </c>
      <c r="R38" s="24">
        <v>33748</v>
      </c>
      <c r="S38" s="78">
        <v>0</v>
      </c>
      <c r="T38" s="24">
        <v>323</v>
      </c>
      <c r="U38" s="21">
        <v>0</v>
      </c>
      <c r="V38" s="24">
        <v>0</v>
      </c>
      <c r="W38" s="23">
        <v>0</v>
      </c>
      <c r="X38" s="24">
        <v>0</v>
      </c>
      <c r="Y38" s="21">
        <v>252</v>
      </c>
      <c r="Z38" s="24">
        <v>301833</v>
      </c>
      <c r="AA38" s="23">
        <v>376</v>
      </c>
      <c r="AB38" s="24">
        <v>65414</v>
      </c>
    </row>
    <row r="39" spans="1:28" s="6" customFormat="1" ht="16.5" customHeight="1">
      <c r="A39" s="25"/>
      <c r="B39" s="26" t="s">
        <v>12</v>
      </c>
      <c r="C39" s="31">
        <v>5942</v>
      </c>
      <c r="D39" s="44">
        <v>740614</v>
      </c>
      <c r="E39" s="39">
        <v>5227</v>
      </c>
      <c r="F39" s="34">
        <v>409484</v>
      </c>
      <c r="G39" s="31">
        <v>391</v>
      </c>
      <c r="H39" s="32">
        <v>138994</v>
      </c>
      <c r="I39" s="33">
        <v>0</v>
      </c>
      <c r="J39" s="32">
        <v>0</v>
      </c>
      <c r="K39" s="31">
        <v>106</v>
      </c>
      <c r="L39" s="32">
        <v>34377</v>
      </c>
      <c r="M39" s="33">
        <v>79</v>
      </c>
      <c r="N39" s="32">
        <v>56614</v>
      </c>
      <c r="O39" s="31">
        <v>0</v>
      </c>
      <c r="P39" s="32">
        <v>0</v>
      </c>
      <c r="Q39" s="33">
        <v>20</v>
      </c>
      <c r="R39" s="32">
        <v>29806</v>
      </c>
      <c r="S39" s="79">
        <v>0</v>
      </c>
      <c r="T39" s="32">
        <v>41</v>
      </c>
      <c r="U39" s="33">
        <v>0</v>
      </c>
      <c r="V39" s="32">
        <v>0</v>
      </c>
      <c r="W39" s="33">
        <v>0</v>
      </c>
      <c r="X39" s="32">
        <v>0</v>
      </c>
      <c r="Y39" s="33">
        <v>0</v>
      </c>
      <c r="Z39" s="32">
        <v>0</v>
      </c>
      <c r="AA39" s="31">
        <v>119</v>
      </c>
      <c r="AB39" s="32">
        <v>71298</v>
      </c>
    </row>
    <row r="40" spans="1:4" s="74" customFormat="1" ht="16.5" customHeight="1" thickBot="1">
      <c r="A40" s="76" t="s">
        <v>57</v>
      </c>
      <c r="B40" s="77"/>
      <c r="C40" s="77"/>
      <c r="D40" s="77"/>
    </row>
    <row r="41" spans="1:28" s="72" customFormat="1" ht="13.5">
      <c r="A41" s="114" t="str">
        <f>"2015（平成27）年"&amp;COUNTA(E28:E39)&amp;"月迄"</f>
        <v>2015（平成27）年12月迄</v>
      </c>
      <c r="B41" s="115"/>
      <c r="C41" s="71">
        <f>SUM(C28:C39)</f>
        <v>114977</v>
      </c>
      <c r="D41" s="71">
        <f>SUM(D28:D39)-1</f>
        <v>12142655</v>
      </c>
      <c r="E41" s="71">
        <f>SUM(E28:E39)</f>
        <v>50726</v>
      </c>
      <c r="F41" s="71">
        <f>SUM(F28:F39)+1</f>
        <v>3216817</v>
      </c>
      <c r="G41" s="71">
        <f>SUM(G28:G39)+1</f>
        <v>6020</v>
      </c>
      <c r="H41" s="71">
        <f>SUM(H28:H39)</f>
        <v>1732939</v>
      </c>
      <c r="I41" s="71">
        <f>SUM(I28:I39)-1</f>
        <v>7166</v>
      </c>
      <c r="J41" s="71">
        <f>SUM(J28:J39)</f>
        <v>1226828</v>
      </c>
      <c r="K41" s="71">
        <f>SUM(K28:K39)</f>
        <v>8254</v>
      </c>
      <c r="L41" s="71">
        <f>SUM(L28:L39)+1</f>
        <v>2031081</v>
      </c>
      <c r="M41" s="71">
        <f>SUM(M28:M39)-1</f>
        <v>527</v>
      </c>
      <c r="N41" s="71">
        <f>SUM(N28:N39)</f>
        <v>210163</v>
      </c>
      <c r="O41" s="71">
        <f>SUM(O28:O39)</f>
        <v>151</v>
      </c>
      <c r="P41" s="71">
        <f>SUM(P28:P39)</f>
        <v>89239</v>
      </c>
      <c r="Q41" s="71">
        <f>SUM(Q28:Q39)</f>
        <v>177</v>
      </c>
      <c r="R41" s="71">
        <f>SUM(R28:R39)+1</f>
        <v>266286</v>
      </c>
      <c r="S41" s="71">
        <f>SUM(S28:S39)+2</f>
        <v>3</v>
      </c>
      <c r="T41" s="71">
        <f>SUM(T28:T39)+1</f>
        <v>1554</v>
      </c>
      <c r="U41" s="71">
        <f>SUM(U28:U39)</f>
        <v>10815</v>
      </c>
      <c r="V41" s="71">
        <f>SUM(V28:V39)-1</f>
        <v>721345</v>
      </c>
      <c r="W41" s="71">
        <f>SUM(W28:W39)+1</f>
        <v>28805</v>
      </c>
      <c r="X41" s="71">
        <f>SUM(X28:X39)+1</f>
        <v>1738868</v>
      </c>
      <c r="Y41" s="71">
        <f>SUM(Y28:Y39)</f>
        <v>252</v>
      </c>
      <c r="Z41" s="71">
        <f>SUM(Z28:Z39)</f>
        <v>301961</v>
      </c>
      <c r="AA41" s="71">
        <f>SUM(AA28:AA39)-2</f>
        <v>2081</v>
      </c>
      <c r="AB41" s="71">
        <f>SUM(AB28:AB39)-5</f>
        <v>605574</v>
      </c>
    </row>
    <row r="42" spans="1:28" s="74" customFormat="1" ht="13.5">
      <c r="A42" s="116" t="str">
        <f>"前年"&amp;COUNTA(E28:E39)&amp;"月迄"</f>
        <v>前年12月迄</v>
      </c>
      <c r="B42" s="117"/>
      <c r="C42" s="73">
        <f>SUM(C16:C27)</f>
        <v>130571</v>
      </c>
      <c r="D42" s="73">
        <f>SUM(D16:D27)+1</f>
        <v>12777794</v>
      </c>
      <c r="E42" s="73">
        <f>SUM(E16:E27)</f>
        <v>56430</v>
      </c>
      <c r="F42" s="73">
        <f>SUM(F16:F27)-1</f>
        <v>3445393</v>
      </c>
      <c r="G42" s="73">
        <f>SUM(G16:G27)</f>
        <v>5709</v>
      </c>
      <c r="H42" s="73">
        <f>SUM(H16:H27)+1</f>
        <v>1339390</v>
      </c>
      <c r="I42" s="73">
        <f>SUM(I16:I27)</f>
        <v>23207</v>
      </c>
      <c r="J42" s="73">
        <f>SUM(J16:J27)-1</f>
        <v>2204697</v>
      </c>
      <c r="K42" s="73">
        <f>SUM(K16:K27)+2</f>
        <v>8431</v>
      </c>
      <c r="L42" s="73">
        <f>SUM(L16:L27)+1</f>
        <v>1895592</v>
      </c>
      <c r="M42" s="73">
        <f>SUM(M16:M27)</f>
        <v>610</v>
      </c>
      <c r="N42" s="73">
        <f>SUM(N16:N27)-3</f>
        <v>220837</v>
      </c>
      <c r="O42" s="73">
        <f>SUM(O16:O27)+1</f>
        <v>431</v>
      </c>
      <c r="P42" s="73">
        <f>SUM(P16:P27)</f>
        <v>285937</v>
      </c>
      <c r="Q42" s="73">
        <f>SUM(Q16:Q27)</f>
        <v>166</v>
      </c>
      <c r="R42" s="73">
        <f>SUM(R16:R27)+1</f>
        <v>212345</v>
      </c>
      <c r="S42" s="73">
        <f>SUM(S16:S27)+1</f>
        <v>36</v>
      </c>
      <c r="T42" s="73">
        <f>SUM(T16:T27)-1</f>
        <v>22854</v>
      </c>
      <c r="U42" s="73">
        <f>SUM(U16:U27)</f>
        <v>9317</v>
      </c>
      <c r="V42" s="73">
        <f>SUM(V16:V27)-1</f>
        <v>791049</v>
      </c>
      <c r="W42" s="73">
        <f>SUM(W16:W27)+1</f>
        <v>20523</v>
      </c>
      <c r="X42" s="73">
        <f>SUM(X16:X27)</f>
        <v>1040849</v>
      </c>
      <c r="Y42" s="73">
        <f>SUM(Y16:Y27)</f>
        <v>120</v>
      </c>
      <c r="Z42" s="73">
        <f>SUM(Z16:Z27)-1</f>
        <v>176301</v>
      </c>
      <c r="AA42" s="73">
        <f>SUM(AA16:AA27)-5</f>
        <v>5591</v>
      </c>
      <c r="AB42" s="73">
        <f>SUM(AB16:AB27)+6</f>
        <v>1142550</v>
      </c>
    </row>
    <row r="43" spans="1:28" s="74" customFormat="1" ht="14.25" thickBot="1">
      <c r="A43" s="118" t="s">
        <v>56</v>
      </c>
      <c r="B43" s="119"/>
      <c r="C43" s="75">
        <f>C41-C42</f>
        <v>-15594</v>
      </c>
      <c r="D43" s="75">
        <f aca="true" t="shared" si="0" ref="D43:Z43">D41-D42</f>
        <v>-635139</v>
      </c>
      <c r="E43" s="75">
        <f>E41-E42</f>
        <v>-5704</v>
      </c>
      <c r="F43" s="75">
        <f t="shared" si="0"/>
        <v>-228576</v>
      </c>
      <c r="G43" s="75">
        <f t="shared" si="0"/>
        <v>311</v>
      </c>
      <c r="H43" s="75">
        <f>H41-H42</f>
        <v>393549</v>
      </c>
      <c r="I43" s="75">
        <f t="shared" si="0"/>
        <v>-16041</v>
      </c>
      <c r="J43" s="75">
        <f t="shared" si="0"/>
        <v>-977869</v>
      </c>
      <c r="K43" s="75">
        <f t="shared" si="0"/>
        <v>-177</v>
      </c>
      <c r="L43" s="75">
        <f t="shared" si="0"/>
        <v>135489</v>
      </c>
      <c r="M43" s="75">
        <f t="shared" si="0"/>
        <v>-83</v>
      </c>
      <c r="N43" s="75">
        <f t="shared" si="0"/>
        <v>-10674</v>
      </c>
      <c r="O43" s="75">
        <f t="shared" si="0"/>
        <v>-280</v>
      </c>
      <c r="P43" s="75">
        <f t="shared" si="0"/>
        <v>-196698</v>
      </c>
      <c r="Q43" s="75">
        <f t="shared" si="0"/>
        <v>11</v>
      </c>
      <c r="R43" s="75">
        <f t="shared" si="0"/>
        <v>53941</v>
      </c>
      <c r="S43" s="75">
        <f t="shared" si="0"/>
        <v>-33</v>
      </c>
      <c r="T43" s="75">
        <f t="shared" si="0"/>
        <v>-21300</v>
      </c>
      <c r="U43" s="75">
        <f t="shared" si="0"/>
        <v>1498</v>
      </c>
      <c r="V43" s="75">
        <f t="shared" si="0"/>
        <v>-69704</v>
      </c>
      <c r="W43" s="75">
        <f t="shared" si="0"/>
        <v>8282</v>
      </c>
      <c r="X43" s="75">
        <f t="shared" si="0"/>
        <v>698019</v>
      </c>
      <c r="Y43" s="75">
        <f t="shared" si="0"/>
        <v>132</v>
      </c>
      <c r="Z43" s="75">
        <f t="shared" si="0"/>
        <v>125660</v>
      </c>
      <c r="AA43" s="75">
        <f>AA41-AA42</f>
        <v>-3510</v>
      </c>
      <c r="AB43" s="75">
        <f>AB41-AB42</f>
        <v>-536976</v>
      </c>
    </row>
    <row r="44" s="6" customFormat="1" ht="16.5" customHeight="1">
      <c r="A44" s="6" t="s">
        <v>19</v>
      </c>
    </row>
    <row r="45" s="6" customFormat="1" ht="16.5" customHeight="1">
      <c r="A45" s="6" t="s">
        <v>20</v>
      </c>
    </row>
    <row r="46" s="1" customFormat="1" ht="15" customHeight="1"/>
    <row r="47" s="1" customFormat="1" ht="15" customHeight="1"/>
    <row r="48" ht="13.5">
      <c r="E48" s="57"/>
    </row>
  </sheetData>
  <sheetProtection/>
  <mergeCells count="17">
    <mergeCell ref="W4:X4"/>
    <mergeCell ref="A4:B5"/>
    <mergeCell ref="C4:D4"/>
    <mergeCell ref="E4:F4"/>
    <mergeCell ref="G4:H4"/>
    <mergeCell ref="I4:J4"/>
    <mergeCell ref="K4:L4"/>
    <mergeCell ref="Y4:Z4"/>
    <mergeCell ref="AA4:AB4"/>
    <mergeCell ref="A41:B41"/>
    <mergeCell ref="A42:B42"/>
    <mergeCell ref="A43:B43"/>
    <mergeCell ref="M4:N4"/>
    <mergeCell ref="O4:P4"/>
    <mergeCell ref="Q4:R4"/>
    <mergeCell ref="S4:T4"/>
    <mergeCell ref="U4:V4"/>
  </mergeCells>
  <conditionalFormatting sqref="C41:AB43">
    <cfRule type="cellIs" priority="1" dxfId="12" operator="equal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菊池　千尋</dc:creator>
  <cp:keywords/>
  <dc:description/>
  <cp:lastModifiedBy>小崎　誠</cp:lastModifiedBy>
  <cp:lastPrinted>2023-10-27T04:53:59Z</cp:lastPrinted>
  <dcterms:created xsi:type="dcterms:W3CDTF">2006-06-19T01:07:03Z</dcterms:created>
  <dcterms:modified xsi:type="dcterms:W3CDTF">2023-12-21T04:07:37Z</dcterms:modified>
  <cp:category/>
  <cp:version/>
  <cp:contentType/>
  <cp:contentStatus/>
</cp:coreProperties>
</file>